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harts/chart3.xml" ContentType="application/vnd.openxmlformats-officedocument.drawingml.chart+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8.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0.xml" ContentType="application/vnd.openxmlformats-officedocument.drawingml.chartshapes+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defaultThemeVersion="124226"/>
  <mc:AlternateContent xmlns:mc="http://schemas.openxmlformats.org/markup-compatibility/2006">
    <mc:Choice Requires="x15">
      <x15ac:absPath xmlns:x15ac="http://schemas.microsoft.com/office/spreadsheetml/2010/11/ac" url="C:\Users\Alexander.Schollin\Desktop\PROJEKT\Motor PC curves\"/>
    </mc:Choice>
  </mc:AlternateContent>
  <workbookProtection workbookAlgorithmName="SHA-512" workbookHashValue="khLVRTchBUrXNNaIRAO2uNq2elt6tYHc7fOjjmk2ZlRDNAmWUrwVOud6T8dGvHzU6XJuvF1Sjev8bfna9V/M2A==" workbookSaltValue="GSi24S2VHjNNES6cSsXqZQ==" workbookSpinCount="100000" lockStructure="1"/>
  <bookViews>
    <workbookView xWindow="8400" yWindow="825" windowWidth="14310" windowHeight="8385"/>
  </bookViews>
  <sheets>
    <sheet name="Input" sheetId="2" r:id="rId1"/>
    <sheet name="fm factor" sheetId="20" r:id="rId2"/>
    <sheet name="Information" sheetId="21" r:id="rId3"/>
    <sheet name="Data" sheetId="1" state="hidden" r:id="rId4"/>
    <sheet name="Motor" sheetId="11" state="hidden" r:id="rId5"/>
    <sheet name="Calc" sheetId="12" state="hidden" r:id="rId6"/>
    <sheet name="Calc2" sheetId="13" state="hidden" r:id="rId7"/>
    <sheet name="Micron Gear Data" sheetId="4" state="hidden" r:id="rId8"/>
    <sheet name="Change LOG" sheetId="6" state="hidden" r:id="rId9"/>
    <sheet name="PC40 Graphs" sheetId="17" state="hidden" r:id="rId10"/>
    <sheet name="PC32 Graphs" sheetId="18" state="hidden" r:id="rId11"/>
    <sheet name="PC25 Graphs" sheetId="19" state="hidden" r:id="rId12"/>
  </sheets>
  <externalReferences>
    <externalReference r:id="rId13"/>
    <externalReference r:id="rId14"/>
    <externalReference r:id="rId15"/>
  </externalReferences>
  <definedNames>
    <definedName name="_2CA" localSheetId="11">#REF!</definedName>
    <definedName name="_2CA" localSheetId="10">#REF!</definedName>
    <definedName name="_2CA" localSheetId="9">#REF!</definedName>
    <definedName name="_2CA">#REF!</definedName>
    <definedName name="_2DA" localSheetId="11">#REF!</definedName>
    <definedName name="_2DA" localSheetId="10">#REF!</definedName>
    <definedName name="_2DA" localSheetId="9">#REF!</definedName>
    <definedName name="_2DA">#REF!</definedName>
    <definedName name="_2DB" localSheetId="11">#REF!</definedName>
    <definedName name="_2DB" localSheetId="10">#REF!</definedName>
    <definedName name="_2DB" localSheetId="9">#REF!</definedName>
    <definedName name="_2DB">#REF!</definedName>
    <definedName name="_2HB">#REF!</definedName>
    <definedName name="_2RB">#REF!</definedName>
    <definedName name="_xlnm._FilterDatabase" localSheetId="6" hidden="1">Calc2!$A$1:$N$200</definedName>
    <definedName name="_xlnm._FilterDatabase" localSheetId="3" hidden="1">Data!$G$110</definedName>
    <definedName name="_xlnm._FilterDatabase" localSheetId="4" hidden="1">Motor!$A$8:$CM$1219</definedName>
    <definedName name="accel1">[1]Main!$H$46</definedName>
    <definedName name="accel3">[1]Main!$H$50</definedName>
    <definedName name="accel5">[1]Main!$H$55</definedName>
    <definedName name="accel7">[1]Main!$H$59</definedName>
    <definedName name="Accesories_for_above">#REF!</definedName>
    <definedName name="AccType">[1]Calc!$B$30</definedName>
    <definedName name="Controls">[2]WhisperTrak!$O$105:$O$107</definedName>
    <definedName name="DryTorq">[1]Main!$I$23</definedName>
    <definedName name="DryTorq2">[1]Main!$I$25</definedName>
    <definedName name="E1Load">#REF!</definedName>
    <definedName name="E1Stroke">#REF!</definedName>
    <definedName name="E1Type">#REF!</definedName>
    <definedName name="E1Voltage">#REF!</definedName>
    <definedName name="gear">[1]Main!$L$23</definedName>
    <definedName name="gear_inertia">[1]Main!$M$23</definedName>
    <definedName name="Imperial_units">Data!$C$17:$C$18</definedName>
    <definedName name="inertia">[1]Main!$E$23</definedName>
    <definedName name="inertia2">[1]Main!$E$25</definedName>
    <definedName name="Ipeak">[1]Main!$H$16</definedName>
    <definedName name="Irms">[1]Main!$H$15</definedName>
    <definedName name="kgcm2">[1]Calc!$A$71</definedName>
    <definedName name="MFxxB_Belt_Ball_Guide">#REF!</definedName>
    <definedName name="MFxxK_Screw_Ball_Guide">#REF!</definedName>
    <definedName name="MGxxB_Belt_Slide_Guide">#REF!</definedName>
    <definedName name="MGxxK_Screw_Slide_Guide">#REF!</definedName>
    <definedName name="MGZx___MFZB_Lifting_Units">#REF!</definedName>
    <definedName name="Microstage">#REF!</definedName>
    <definedName name="MLSH_Belt_Wheel_Guide">#REF!</definedName>
    <definedName name="Motorenmatrix" localSheetId="11">[3]Motor!$A$9:$U$1280</definedName>
    <definedName name="Motorenmatrix" localSheetId="10">[3]Motor!$A$9:$U$1280</definedName>
    <definedName name="Motorenmatrix" localSheetId="9">[3]Motor!$A$9:$U$1280</definedName>
    <definedName name="Motorenmatrix">Motor!$A$9:$U$1280</definedName>
    <definedName name="move1">[1]Calc!$A$31</definedName>
    <definedName name="mspeed">[1]Main!$Q$23</definedName>
    <definedName name="none">[2]WhisperTrak!$O$105</definedName>
    <definedName name="speed">[1]Main!$O$23</definedName>
    <definedName name="speed1">[1]Main!$F$46</definedName>
    <definedName name="speed2">[1]Main!$F$48</definedName>
    <definedName name="speed6">[1]Main!$F$57</definedName>
    <definedName name="T60_T90_T130">#REF!</definedName>
    <definedName name="time">[1]Main!$D$45</definedName>
    <definedName name="time1">[1]Main!$D$46</definedName>
    <definedName name="time2">[1]Main!$D$48</definedName>
    <definedName name="time3">[1]Main!$D$50</definedName>
    <definedName name="time4">[1]Main!$D$52</definedName>
    <definedName name="time5">[1]Main!$D$55</definedName>
    <definedName name="time6">[1]Main!$D$57</definedName>
    <definedName name="time7">[1]Main!$D$59</definedName>
    <definedName name="time8">[1]Main!$D$61</definedName>
    <definedName name="torque">[1]Main!$G$23</definedName>
    <definedName name="torque2">[1]Main!$G$25</definedName>
    <definedName name="UAC_V">[1]Calc!$B$2</definedName>
    <definedName name="Unit">#REF!</definedName>
    <definedName name="WB_WBE" localSheetId="11">#REF!</definedName>
    <definedName name="WB_WBE" localSheetId="10">#REF!</definedName>
    <definedName name="WB_WBE" localSheetId="9">#REF!</definedName>
    <definedName name="WB_WBE">#REF!</definedName>
    <definedName name="WH___CB_Belt_Ball_Wheel_Guide" localSheetId="11">#REF!</definedName>
    <definedName name="WH___CB_Belt_Ball_Wheel_Guide" localSheetId="10">#REF!</definedName>
    <definedName name="WH___CB_Belt_Ball_Wheel_Guide" localSheetId="9">#REF!</definedName>
    <definedName name="WH___CB_Belt_Ball_Wheel_Guide">#REF!</definedName>
    <definedName name="WH_CB_Belt_Ball_Wheel_Guide" localSheetId="11">#REF!</definedName>
    <definedName name="WH_CB_Belt_Ball_Wheel_Guide" localSheetId="10">#REF!</definedName>
    <definedName name="WH_CB_Belt_Ball_Wheel_Guide" localSheetId="9">#REF!</definedName>
    <definedName name="WH_CB_Belt_Ball_Wheel_Guide">#REF!</definedName>
    <definedName name="WHZ_Belt_Lifting_Unit">#REF!</definedName>
    <definedName name="Wirkungsgrad">[1]Main!$N$23</definedName>
    <definedName name="WM__WV_Screw_Ball_Guide">#REF!</definedName>
    <definedName name="WM_Belt_Ball_Guide">#REF!</definedName>
    <definedName name="WM_WV_Screw_Ball_Guide">#REF!</definedName>
    <definedName name="WZ">#REF!</definedName>
    <definedName name="Y2016_">#REF!</definedName>
    <definedName name="Y2017_">#REF!</definedName>
    <definedName name="Y2018_">#REF!</definedName>
    <definedName name="Y2019_">#REF!</definedName>
    <definedName name="Year_2016">#REF!</definedName>
    <definedName name="Year_2017">#REF!</definedName>
    <definedName name="Year_2018">#REF!</definedName>
    <definedName name="Year_2019">#REF!</definedName>
    <definedName name="Z_F8416929_B225_4ECE_A61E_A5E180E2B231_.wvu.FilterData" localSheetId="6" hidden="1">Calc2!$A$1:$N$200</definedName>
    <definedName name="Z_F8416929_B225_4ECE_A61E_A5E180E2B231_.wvu.FilterData" localSheetId="4" hidden="1">Motor!$A$8:$CM$1219</definedName>
    <definedName name="Z_F8416929_B225_4ECE_A61E_A5E180E2B231_.wvu.Rows" localSheetId="6" hidden="1">Calc2!$1:$200</definedName>
  </definedNames>
  <calcPr calcId="171027"/>
</workbook>
</file>

<file path=xl/calcChain.xml><?xml version="1.0" encoding="utf-8"?>
<calcChain xmlns="http://schemas.openxmlformats.org/spreadsheetml/2006/main">
  <c r="M49" i="1" l="1"/>
  <c r="J161" i="1" l="1"/>
  <c r="K161" i="1"/>
  <c r="AG149" i="1" l="1"/>
  <c r="AL139" i="1"/>
  <c r="AD149" i="1" l="1"/>
  <c r="E57" i="19" l="1"/>
  <c r="C57" i="19"/>
  <c r="E56" i="18"/>
  <c r="C56" i="18"/>
  <c r="E56" i="17"/>
  <c r="G56" i="17"/>
  <c r="B127" i="1" l="1"/>
  <c r="B128" i="1"/>
  <c r="B129" i="1"/>
  <c r="B130" i="1"/>
  <c r="B131" i="1"/>
  <c r="B132" i="1"/>
  <c r="B126" i="1"/>
  <c r="P34" i="20" l="1"/>
  <c r="Q23" i="20" s="1"/>
  <c r="M34" i="20"/>
  <c r="N36" i="20" l="1"/>
  <c r="R25" i="1"/>
  <c r="C34" i="20"/>
  <c r="F34" i="20"/>
  <c r="G24" i="20" s="1"/>
  <c r="D36" i="20" l="1"/>
  <c r="T148" i="1"/>
  <c r="T147" i="1"/>
  <c r="BY143" i="12"/>
  <c r="BS143" i="12"/>
  <c r="BT143" i="12" s="1"/>
  <c r="BM143" i="12"/>
  <c r="BG143" i="12"/>
  <c r="BH143" i="12" s="1"/>
  <c r="B62" i="18" s="1"/>
  <c r="AX143" i="12"/>
  <c r="AY143" i="12" s="1"/>
  <c r="AZ143" i="12" s="1"/>
  <c r="AW143" i="12"/>
  <c r="AO143" i="12"/>
  <c r="AP143" i="12" s="1"/>
  <c r="AQ143" i="12" s="1"/>
  <c r="AN143" i="12"/>
  <c r="AF143" i="12"/>
  <c r="AG143" i="12" s="1"/>
  <c r="AH143" i="12" s="1"/>
  <c r="AE143" i="12"/>
  <c r="V143" i="12"/>
  <c r="W143" i="12" s="1"/>
  <c r="X143" i="12" s="1"/>
  <c r="U143" i="12"/>
  <c r="BK86" i="12"/>
  <c r="BL86" i="12" s="1"/>
  <c r="F63" i="17" s="1"/>
  <c r="BE86" i="12"/>
  <c r="BG86" i="12" s="1"/>
  <c r="AY86" i="12"/>
  <c r="AZ86" i="12" s="1"/>
  <c r="AN86" i="12"/>
  <c r="AO86" i="12" s="1"/>
  <c r="AP86" i="12" s="1"/>
  <c r="AE86" i="12"/>
  <c r="AF86" i="12" s="1"/>
  <c r="AG86" i="12" s="1"/>
  <c r="AH86" i="12" s="1"/>
  <c r="V86" i="12"/>
  <c r="W86" i="12" s="1"/>
  <c r="U86" i="12"/>
  <c r="B63" i="19"/>
  <c r="B63" i="17"/>
  <c r="D5" i="17" l="1"/>
  <c r="T63" i="17" s="1"/>
  <c r="B6" i="19"/>
  <c r="D6" i="19"/>
  <c r="B5" i="18"/>
  <c r="F5" i="17"/>
  <c r="V63" i="17" s="1"/>
  <c r="D5" i="18"/>
  <c r="B5" i="17"/>
  <c r="R63" i="17" s="1"/>
  <c r="BU143" i="12"/>
  <c r="BO143" i="12"/>
  <c r="BN143" i="12"/>
  <c r="D62" i="18" s="1"/>
  <c r="BF86" i="12"/>
  <c r="D63" i="17" s="1"/>
  <c r="CA143" i="12"/>
  <c r="BZ143" i="12"/>
  <c r="D63" i="19" s="1"/>
  <c r="X86" i="12"/>
  <c r="AQ86" i="12"/>
  <c r="BA86" i="12"/>
  <c r="BM86" i="12"/>
  <c r="BI143" i="12"/>
  <c r="K223" i="13" l="1"/>
  <c r="K218" i="13"/>
  <c r="O216" i="13" s="1"/>
  <c r="O217" i="13" s="1"/>
  <c r="K213" i="13"/>
  <c r="E146" i="13"/>
  <c r="D146" i="13"/>
  <c r="E145" i="13"/>
  <c r="D145" i="13"/>
  <c r="E144" i="13"/>
  <c r="D144" i="13"/>
  <c r="D83" i="13"/>
  <c r="C83" i="13"/>
  <c r="D82" i="13"/>
  <c r="C82" i="13"/>
  <c r="E83" i="13" s="1"/>
  <c r="D81" i="13"/>
  <c r="C81" i="13"/>
  <c r="D79" i="13"/>
  <c r="E79" i="13" s="1"/>
  <c r="C78" i="13"/>
  <c r="O49" i="13"/>
  <c r="N49" i="13"/>
  <c r="M49" i="13"/>
  <c r="L49" i="13"/>
  <c r="K49" i="13"/>
  <c r="O48" i="13"/>
  <c r="N48" i="13"/>
  <c r="M48" i="13"/>
  <c r="L48" i="13"/>
  <c r="K48" i="13"/>
  <c r="O47" i="13"/>
  <c r="N47" i="13"/>
  <c r="M47" i="13"/>
  <c r="L47" i="13"/>
  <c r="K47" i="13"/>
  <c r="O46" i="13"/>
  <c r="N46" i="13"/>
  <c r="M46" i="13"/>
  <c r="L46" i="13"/>
  <c r="K46" i="13"/>
  <c r="O45" i="13"/>
  <c r="N45" i="13"/>
  <c r="M45" i="13"/>
  <c r="L45" i="13"/>
  <c r="K45" i="13"/>
  <c r="O44" i="13"/>
  <c r="N44" i="13"/>
  <c r="M44" i="13"/>
  <c r="L44" i="13"/>
  <c r="K44" i="13"/>
  <c r="O43" i="13"/>
  <c r="N43" i="13"/>
  <c r="M43" i="13"/>
  <c r="L43" i="13"/>
  <c r="K43" i="13"/>
  <c r="O42" i="13"/>
  <c r="N42" i="13"/>
  <c r="M42" i="13"/>
  <c r="L42" i="13"/>
  <c r="K42" i="13"/>
  <c r="O41" i="13"/>
  <c r="N41" i="13"/>
  <c r="M41" i="13"/>
  <c r="L41" i="13"/>
  <c r="K41" i="13"/>
  <c r="O40" i="13"/>
  <c r="N40" i="13"/>
  <c r="M40" i="13"/>
  <c r="L40" i="13"/>
  <c r="K40" i="13"/>
  <c r="O39" i="13"/>
  <c r="N39" i="13"/>
  <c r="M39" i="13"/>
  <c r="L39" i="13"/>
  <c r="K39" i="13"/>
  <c r="O38" i="13"/>
  <c r="N38" i="13"/>
  <c r="M38" i="13"/>
  <c r="L38" i="13"/>
  <c r="K38" i="13"/>
  <c r="O37" i="13"/>
  <c r="N37" i="13"/>
  <c r="M37" i="13"/>
  <c r="L37" i="13"/>
  <c r="K37" i="13"/>
  <c r="O36" i="13"/>
  <c r="N36" i="13"/>
  <c r="M36" i="13"/>
  <c r="L36" i="13"/>
  <c r="K36" i="13"/>
  <c r="O35" i="13"/>
  <c r="N35" i="13"/>
  <c r="M35" i="13"/>
  <c r="L35" i="13"/>
  <c r="K35" i="13"/>
  <c r="O34" i="13"/>
  <c r="N34" i="13"/>
  <c r="M34" i="13"/>
  <c r="L34" i="13"/>
  <c r="K34" i="13"/>
  <c r="O33" i="13"/>
  <c r="N33" i="13"/>
  <c r="M33" i="13"/>
  <c r="L33" i="13"/>
  <c r="K33" i="13"/>
  <c r="O32" i="13"/>
  <c r="N32" i="13"/>
  <c r="M32" i="13"/>
  <c r="L32" i="13"/>
  <c r="K32" i="13"/>
  <c r="O31" i="13"/>
  <c r="N31" i="13"/>
  <c r="M31" i="13"/>
  <c r="L31" i="13"/>
  <c r="K31" i="13"/>
  <c r="O30" i="13"/>
  <c r="N30" i="13"/>
  <c r="M30" i="13"/>
  <c r="L30" i="13"/>
  <c r="K30" i="13"/>
  <c r="O29" i="13"/>
  <c r="N29" i="13"/>
  <c r="M29" i="13"/>
  <c r="L29" i="13"/>
  <c r="K29" i="13"/>
  <c r="O28" i="13"/>
  <c r="N28" i="13"/>
  <c r="M28" i="13"/>
  <c r="L28" i="13"/>
  <c r="K28" i="13"/>
  <c r="O27" i="13"/>
  <c r="N27" i="13"/>
  <c r="M27" i="13"/>
  <c r="L27" i="13"/>
  <c r="K27" i="13"/>
  <c r="O26" i="13"/>
  <c r="N26" i="13"/>
  <c r="M26" i="13"/>
  <c r="L26" i="13"/>
  <c r="K26" i="13"/>
  <c r="O25" i="13"/>
  <c r="N25" i="13"/>
  <c r="M25" i="13"/>
  <c r="L25" i="13"/>
  <c r="K25" i="13"/>
  <c r="O24" i="13"/>
  <c r="N24" i="13"/>
  <c r="M24" i="13"/>
  <c r="L24" i="13"/>
  <c r="K24" i="13"/>
  <c r="O23" i="13"/>
  <c r="N23" i="13"/>
  <c r="M23" i="13"/>
  <c r="L23" i="13"/>
  <c r="K23" i="13"/>
  <c r="O22" i="13"/>
  <c r="N22" i="13"/>
  <c r="M22" i="13"/>
  <c r="L22" i="13"/>
  <c r="K22" i="13"/>
  <c r="O21" i="13"/>
  <c r="N21" i="13"/>
  <c r="M21" i="13"/>
  <c r="L21" i="13"/>
  <c r="K21" i="13"/>
  <c r="O20" i="13"/>
  <c r="N20" i="13"/>
  <c r="M20" i="13"/>
  <c r="L20" i="13"/>
  <c r="K20" i="13"/>
  <c r="O19" i="13"/>
  <c r="N19" i="13"/>
  <c r="M19" i="13"/>
  <c r="L19" i="13"/>
  <c r="K19" i="13"/>
  <c r="O18" i="13"/>
  <c r="N18" i="13"/>
  <c r="M18" i="13"/>
  <c r="L18" i="13"/>
  <c r="K18" i="13"/>
  <c r="O17" i="13"/>
  <c r="N17" i="13"/>
  <c r="M17" i="13"/>
  <c r="L17" i="13"/>
  <c r="K17" i="13"/>
  <c r="O16" i="13"/>
  <c r="N16" i="13"/>
  <c r="M16" i="13"/>
  <c r="L16" i="13"/>
  <c r="K16" i="13"/>
  <c r="O15" i="13"/>
  <c r="N15" i="13"/>
  <c r="M15" i="13"/>
  <c r="L15" i="13"/>
  <c r="K15" i="13"/>
  <c r="O14" i="13"/>
  <c r="N14" i="13"/>
  <c r="M14" i="13"/>
  <c r="L14" i="13"/>
  <c r="K14" i="13"/>
  <c r="O13" i="13"/>
  <c r="N13" i="13"/>
  <c r="M13" i="13"/>
  <c r="L13" i="13"/>
  <c r="K13" i="13"/>
  <c r="O12" i="13"/>
  <c r="N12" i="13"/>
  <c r="M12" i="13"/>
  <c r="L12" i="13"/>
  <c r="K12" i="13"/>
  <c r="O11" i="13"/>
  <c r="N11" i="13"/>
  <c r="M11" i="13"/>
  <c r="L11" i="13"/>
  <c r="K11" i="13"/>
  <c r="O10" i="13"/>
  <c r="N10" i="13"/>
  <c r="M10" i="13"/>
  <c r="L10" i="13"/>
  <c r="K10" i="13"/>
  <c r="I10" i="13"/>
  <c r="H10" i="13"/>
  <c r="G10" i="13"/>
  <c r="F10" i="13"/>
  <c r="E10" i="13"/>
  <c r="D10" i="13"/>
  <c r="C10" i="13"/>
  <c r="B10" i="13"/>
  <c r="A10" i="13"/>
  <c r="O9" i="13"/>
  <c r="N9" i="13"/>
  <c r="M9" i="13"/>
  <c r="L9" i="13"/>
  <c r="K9" i="13"/>
  <c r="O8" i="13"/>
  <c r="N8" i="13"/>
  <c r="M8" i="13"/>
  <c r="L8" i="13"/>
  <c r="K8" i="13"/>
  <c r="O7" i="13"/>
  <c r="N7" i="13"/>
  <c r="M7" i="13"/>
  <c r="L7" i="13"/>
  <c r="K7" i="13"/>
  <c r="O6" i="13"/>
  <c r="N6" i="13"/>
  <c r="M6" i="13"/>
  <c r="L6" i="13"/>
  <c r="K6" i="13"/>
  <c r="F6" i="13"/>
  <c r="O5" i="13"/>
  <c r="N5" i="13"/>
  <c r="M5" i="13"/>
  <c r="L5" i="13"/>
  <c r="K5" i="13"/>
  <c r="F5" i="13"/>
  <c r="O4" i="13"/>
  <c r="N4" i="13"/>
  <c r="M4" i="13"/>
  <c r="L4" i="13"/>
  <c r="K4" i="13"/>
  <c r="F4" i="13"/>
  <c r="O3" i="13"/>
  <c r="N3" i="13"/>
  <c r="M3" i="13"/>
  <c r="L3" i="13"/>
  <c r="K3" i="13"/>
  <c r="F3" i="13"/>
  <c r="O2" i="13"/>
  <c r="N2" i="13"/>
  <c r="M2" i="13"/>
  <c r="L2" i="13"/>
  <c r="K2" i="13"/>
  <c r="F2" i="13"/>
  <c r="B2" i="13"/>
  <c r="O1" i="13"/>
  <c r="N1" i="13"/>
  <c r="M1" i="13"/>
  <c r="L1" i="13"/>
  <c r="K1" i="13"/>
  <c r="O101" i="12"/>
  <c r="O100" i="12"/>
  <c r="O99" i="12"/>
  <c r="O98" i="12"/>
  <c r="O97" i="12"/>
  <c r="O96" i="12"/>
  <c r="O95" i="12"/>
  <c r="A14" i="12"/>
  <c r="C13" i="12"/>
  <c r="B13" i="12"/>
  <c r="A13" i="12"/>
  <c r="F6" i="12"/>
  <c r="F5" i="12"/>
  <c r="G5" i="12" s="1"/>
  <c r="F4" i="12"/>
  <c r="F3" i="12"/>
  <c r="F2" i="12"/>
  <c r="G2" i="12" l="1"/>
  <c r="G6" i="12"/>
  <c r="G4" i="12"/>
  <c r="G3" i="12"/>
  <c r="A13" i="13"/>
  <c r="G60" i="13" s="1"/>
  <c r="A60" i="13" s="1"/>
  <c r="H60" i="13" s="1"/>
  <c r="A14" i="13"/>
  <c r="A149" i="13" s="1"/>
  <c r="A150" i="13" s="1"/>
  <c r="B13" i="13"/>
  <c r="A154" i="13" s="1"/>
  <c r="A155" i="13" s="1"/>
  <c r="I11" i="13"/>
  <c r="G11" i="13"/>
  <c r="A86" i="13"/>
  <c r="C79" i="13"/>
  <c r="C80" i="13" s="1"/>
  <c r="D80" i="13"/>
  <c r="E82" i="13"/>
  <c r="E81" i="13" l="1"/>
  <c r="G73" i="13"/>
  <c r="C73" i="13" s="1"/>
  <c r="G41" i="13"/>
  <c r="G29" i="13"/>
  <c r="G59" i="13"/>
  <c r="G23" i="13"/>
  <c r="G62" i="13"/>
  <c r="G66" i="13"/>
  <c r="G70" i="13"/>
  <c r="D60" i="13"/>
  <c r="C60" i="13"/>
  <c r="G53" i="13"/>
  <c r="G30" i="13"/>
  <c r="G46" i="13"/>
  <c r="G21" i="13"/>
  <c r="G34" i="13"/>
  <c r="G50" i="13"/>
  <c r="G24" i="13"/>
  <c r="G40" i="13"/>
  <c r="G27" i="13"/>
  <c r="G43" i="13"/>
  <c r="G63" i="13"/>
  <c r="G67" i="13"/>
  <c r="G71" i="13"/>
  <c r="E80" i="13"/>
  <c r="G52" i="13"/>
  <c r="G56" i="13"/>
  <c r="G33" i="13"/>
  <c r="G49" i="13"/>
  <c r="G22" i="13"/>
  <c r="G37" i="13"/>
  <c r="G51" i="13"/>
  <c r="G28" i="13"/>
  <c r="G44" i="13"/>
  <c r="G31" i="13"/>
  <c r="G47" i="13"/>
  <c r="G64" i="13"/>
  <c r="G68" i="13"/>
  <c r="D86" i="13"/>
  <c r="G25" i="13"/>
  <c r="G55" i="13"/>
  <c r="G45" i="13"/>
  <c r="G36" i="13"/>
  <c r="G39" i="13"/>
  <c r="G57" i="13"/>
  <c r="G38" i="13"/>
  <c r="G54" i="13"/>
  <c r="G26" i="13"/>
  <c r="G42" i="13"/>
  <c r="G58" i="13"/>
  <c r="G32" i="13"/>
  <c r="G48" i="13"/>
  <c r="G35" i="13"/>
  <c r="G61" i="13"/>
  <c r="G65" i="13"/>
  <c r="G69" i="13"/>
  <c r="J150" i="1"/>
  <c r="AS144" i="1" s="1"/>
  <c r="AQ144" i="1" l="1"/>
  <c r="C149" i="1"/>
  <c r="A2" i="12" s="1"/>
  <c r="X138" i="1"/>
  <c r="AL141" i="1"/>
  <c r="AL140" i="1"/>
  <c r="G207" i="1"/>
  <c r="B36" i="2"/>
  <c r="D73" i="13"/>
  <c r="A32" i="13"/>
  <c r="H32" i="13" s="1"/>
  <c r="C32" i="13"/>
  <c r="D32" i="13"/>
  <c r="A36" i="13"/>
  <c r="H36" i="13" s="1"/>
  <c r="C36" i="13"/>
  <c r="D36" i="13"/>
  <c r="A37" i="13"/>
  <c r="H37" i="13" s="1"/>
  <c r="D37" i="13"/>
  <c r="C37" i="13"/>
  <c r="A56" i="13"/>
  <c r="H56" i="13" s="1"/>
  <c r="C56" i="13"/>
  <c r="D56" i="13"/>
  <c r="A43" i="13"/>
  <c r="H43" i="13" s="1"/>
  <c r="C43" i="13"/>
  <c r="D43" i="13"/>
  <c r="A50" i="13"/>
  <c r="H50" i="13" s="1"/>
  <c r="D50" i="13"/>
  <c r="C50" i="13"/>
  <c r="A30" i="13"/>
  <c r="H30" i="13" s="1"/>
  <c r="C30" i="13"/>
  <c r="D30" i="13"/>
  <c r="A70" i="13"/>
  <c r="H70" i="13" s="1"/>
  <c r="C70" i="13"/>
  <c r="D70" i="13"/>
  <c r="A59" i="13"/>
  <c r="H59" i="13" s="1"/>
  <c r="C59" i="13"/>
  <c r="D59" i="13"/>
  <c r="A61" i="13"/>
  <c r="H61" i="13" s="1"/>
  <c r="C61" i="13"/>
  <c r="D61" i="13"/>
  <c r="A58" i="13"/>
  <c r="H58" i="13" s="1"/>
  <c r="D58" i="13"/>
  <c r="C58" i="13"/>
  <c r="A38" i="13"/>
  <c r="H38" i="13" s="1"/>
  <c r="C38" i="13"/>
  <c r="D38" i="13"/>
  <c r="A45" i="13"/>
  <c r="H45" i="13" s="1"/>
  <c r="D45" i="13"/>
  <c r="C45" i="13"/>
  <c r="A68" i="13"/>
  <c r="H68" i="13" s="1"/>
  <c r="C68" i="13"/>
  <c r="D68" i="13"/>
  <c r="A44" i="13"/>
  <c r="H44" i="13" s="1"/>
  <c r="D44" i="13"/>
  <c r="C44" i="13"/>
  <c r="A22" i="13"/>
  <c r="H22" i="13" s="1"/>
  <c r="C22" i="13"/>
  <c r="D22" i="13"/>
  <c r="A52" i="13"/>
  <c r="H52" i="13" s="1"/>
  <c r="C52" i="13"/>
  <c r="D52" i="13"/>
  <c r="A71" i="13"/>
  <c r="C71" i="13"/>
  <c r="D71" i="13"/>
  <c r="A27" i="13"/>
  <c r="H27" i="13" s="1"/>
  <c r="C27" i="13"/>
  <c r="D27" i="13"/>
  <c r="A34" i="13"/>
  <c r="H34" i="13" s="1"/>
  <c r="D34" i="13"/>
  <c r="C34" i="13"/>
  <c r="A53" i="13"/>
  <c r="H53" i="13" s="1"/>
  <c r="D53" i="13"/>
  <c r="C53" i="13"/>
  <c r="A66" i="13"/>
  <c r="H66" i="13" s="1"/>
  <c r="C66" i="13"/>
  <c r="D66" i="13"/>
  <c r="A29" i="13"/>
  <c r="H29" i="13" s="1"/>
  <c r="D29" i="13"/>
  <c r="C29" i="13"/>
  <c r="A35" i="13"/>
  <c r="H35" i="13" s="1"/>
  <c r="C35" i="13"/>
  <c r="D35" i="13"/>
  <c r="A42" i="13"/>
  <c r="H42" i="13" s="1"/>
  <c r="D42" i="13"/>
  <c r="C42" i="13"/>
  <c r="A57" i="13"/>
  <c r="H57" i="13" s="1"/>
  <c r="C57" i="13"/>
  <c r="D57" i="13"/>
  <c r="A55" i="13"/>
  <c r="H55" i="13" s="1"/>
  <c r="C55" i="13"/>
  <c r="D55" i="13"/>
  <c r="A64" i="13"/>
  <c r="H64" i="13" s="1"/>
  <c r="C64" i="13"/>
  <c r="D64" i="13"/>
  <c r="A28" i="13"/>
  <c r="H28" i="13" s="1"/>
  <c r="C28" i="13"/>
  <c r="D28" i="13"/>
  <c r="A49" i="13"/>
  <c r="H49" i="13" s="1"/>
  <c r="C49" i="13"/>
  <c r="D49" i="13"/>
  <c r="A67" i="13"/>
  <c r="H67" i="13" s="1"/>
  <c r="C67" i="13"/>
  <c r="D67" i="13"/>
  <c r="A40" i="13"/>
  <c r="H40" i="13" s="1"/>
  <c r="C40" i="13"/>
  <c r="D40" i="13"/>
  <c r="A21" i="13"/>
  <c r="D21" i="13"/>
  <c r="C21" i="13"/>
  <c r="A62" i="13"/>
  <c r="H62" i="13" s="1"/>
  <c r="C62" i="13"/>
  <c r="D62" i="13"/>
  <c r="A41" i="13"/>
  <c r="H41" i="13" s="1"/>
  <c r="C41" i="13"/>
  <c r="D41" i="13"/>
  <c r="A65" i="13"/>
  <c r="H65" i="13" s="1"/>
  <c r="D65" i="13"/>
  <c r="C65" i="13"/>
  <c r="A54" i="13"/>
  <c r="H54" i="13" s="1"/>
  <c r="D54" i="13"/>
  <c r="C54" i="13"/>
  <c r="A31" i="13"/>
  <c r="H31" i="13" s="1"/>
  <c r="C31" i="13"/>
  <c r="D31" i="13"/>
  <c r="A69" i="13"/>
  <c r="H69" i="13" s="1"/>
  <c r="D69" i="13"/>
  <c r="C69" i="13"/>
  <c r="A48" i="13"/>
  <c r="H48" i="13" s="1"/>
  <c r="D48" i="13"/>
  <c r="C48" i="13"/>
  <c r="A26" i="13"/>
  <c r="H26" i="13" s="1"/>
  <c r="D26" i="13"/>
  <c r="C26" i="13"/>
  <c r="A39" i="13"/>
  <c r="H39" i="13" s="1"/>
  <c r="D39" i="13"/>
  <c r="C39" i="13"/>
  <c r="A25" i="13"/>
  <c r="H25" i="13" s="1"/>
  <c r="C25" i="13"/>
  <c r="D25" i="13"/>
  <c r="A47" i="13"/>
  <c r="H47" i="13" s="1"/>
  <c r="C47" i="13"/>
  <c r="D47" i="13"/>
  <c r="A51" i="13"/>
  <c r="H51" i="13" s="1"/>
  <c r="D51" i="13"/>
  <c r="C51" i="13"/>
  <c r="A33" i="13"/>
  <c r="H33" i="13" s="1"/>
  <c r="C33" i="13"/>
  <c r="D33" i="13"/>
  <c r="A63" i="13"/>
  <c r="H63" i="13" s="1"/>
  <c r="C63" i="13"/>
  <c r="D63" i="13"/>
  <c r="A24" i="13"/>
  <c r="H24" i="13" s="1"/>
  <c r="D24" i="13"/>
  <c r="C24" i="13"/>
  <c r="A46" i="13"/>
  <c r="H46" i="13" s="1"/>
  <c r="C46" i="13"/>
  <c r="D46" i="13"/>
  <c r="A23" i="13"/>
  <c r="H23" i="13" s="1"/>
  <c r="C23" i="13"/>
  <c r="D23" i="13"/>
  <c r="J141" i="1"/>
  <c r="M141" i="1"/>
  <c r="J144" i="1"/>
  <c r="J143" i="1"/>
  <c r="K170" i="1"/>
  <c r="K171" i="1"/>
  <c r="K173" i="1"/>
  <c r="K172" i="1"/>
  <c r="C141" i="1"/>
  <c r="A258" i="1"/>
  <c r="A262" i="1"/>
  <c r="A266" i="1"/>
  <c r="A270" i="1"/>
  <c r="A274" i="1"/>
  <c r="A278" i="1"/>
  <c r="A259" i="1"/>
  <c r="A263" i="1"/>
  <c r="A267" i="1"/>
  <c r="A271" i="1"/>
  <c r="A275" i="1"/>
  <c r="A279" i="1"/>
  <c r="A260" i="1"/>
  <c r="A264" i="1"/>
  <c r="A268" i="1"/>
  <c r="A272" i="1"/>
  <c r="A276" i="1"/>
  <c r="A256" i="1"/>
  <c r="A257" i="1"/>
  <c r="A261" i="1"/>
  <c r="A265" i="1"/>
  <c r="A269" i="1"/>
  <c r="A273" i="1"/>
  <c r="A277" i="1"/>
  <c r="AK139" i="1" l="1"/>
  <c r="AN141" i="1" s="1"/>
  <c r="M143" i="1"/>
  <c r="M144" i="1"/>
  <c r="B3" i="19"/>
  <c r="A119" i="19" s="1"/>
  <c r="B2" i="18"/>
  <c r="A117" i="18" s="1"/>
  <c r="B2" i="17"/>
  <c r="A116" i="17" s="1"/>
  <c r="H10" i="12"/>
  <c r="D10" i="12"/>
  <c r="I10" i="12"/>
  <c r="A10" i="12"/>
  <c r="G10" i="12"/>
  <c r="C10" i="12"/>
  <c r="D79" i="12"/>
  <c r="F10" i="12"/>
  <c r="B10" i="12"/>
  <c r="E10" i="12"/>
  <c r="A20" i="13"/>
  <c r="H21" i="13"/>
  <c r="I141" i="1"/>
  <c r="D143" i="1"/>
  <c r="C31" i="2" s="1"/>
  <c r="B24" i="2"/>
  <c r="B23" i="2"/>
  <c r="AL143" i="1" l="1"/>
  <c r="AL144" i="1"/>
  <c r="G71" i="12"/>
  <c r="A71" i="12" s="1"/>
  <c r="AH200" i="1" s="1"/>
  <c r="G38" i="12"/>
  <c r="A38" i="12" s="1"/>
  <c r="AH167" i="1" s="1"/>
  <c r="G54" i="12"/>
  <c r="A54" i="12" s="1"/>
  <c r="AH183" i="1" s="1"/>
  <c r="G30" i="12"/>
  <c r="A30" i="12" s="1"/>
  <c r="AH159" i="1" s="1"/>
  <c r="G48" i="12"/>
  <c r="A48" i="12" s="1"/>
  <c r="AH177" i="1" s="1"/>
  <c r="G21" i="12"/>
  <c r="D21" i="12" s="1"/>
  <c r="G35" i="12"/>
  <c r="A35" i="12" s="1"/>
  <c r="AH164" i="1" s="1"/>
  <c r="G39" i="12"/>
  <c r="A39" i="12" s="1"/>
  <c r="AH168" i="1" s="1"/>
  <c r="G43" i="12"/>
  <c r="A43" i="12" s="1"/>
  <c r="AH172" i="1" s="1"/>
  <c r="G60" i="12"/>
  <c r="C60" i="12" s="1"/>
  <c r="G64" i="12"/>
  <c r="A64" i="12" s="1"/>
  <c r="AH193" i="1" s="1"/>
  <c r="G68" i="12"/>
  <c r="A68" i="12" s="1"/>
  <c r="AH197" i="1" s="1"/>
  <c r="G51" i="12"/>
  <c r="A51" i="12" s="1"/>
  <c r="AH180" i="1" s="1"/>
  <c r="G59" i="12"/>
  <c r="A59" i="12" s="1"/>
  <c r="AH188" i="1" s="1"/>
  <c r="G67" i="12"/>
  <c r="A67" i="12" s="1"/>
  <c r="AH196" i="1" s="1"/>
  <c r="G28" i="12"/>
  <c r="A28" i="12" s="1"/>
  <c r="AH157" i="1" s="1"/>
  <c r="G32" i="12"/>
  <c r="A32" i="12" s="1"/>
  <c r="AH161" i="1" s="1"/>
  <c r="G42" i="12"/>
  <c r="A42" i="12" s="1"/>
  <c r="AH171" i="1" s="1"/>
  <c r="G58" i="12"/>
  <c r="A58" i="12" s="1"/>
  <c r="AH187" i="1" s="1"/>
  <c r="G36" i="12"/>
  <c r="A36" i="12" s="1"/>
  <c r="AH165" i="1" s="1"/>
  <c r="G52" i="12"/>
  <c r="A52" i="12" s="1"/>
  <c r="AH181" i="1" s="1"/>
  <c r="G23" i="12"/>
  <c r="A23" i="12" s="1"/>
  <c r="AH152" i="1" s="1"/>
  <c r="G27" i="12"/>
  <c r="A27" i="12" s="1"/>
  <c r="AH156" i="1" s="1"/>
  <c r="G31" i="12"/>
  <c r="A31" i="12" s="1"/>
  <c r="AH160" i="1" s="1"/>
  <c r="G49" i="12"/>
  <c r="A49" i="12" s="1"/>
  <c r="AH178" i="1" s="1"/>
  <c r="G53" i="12"/>
  <c r="D53" i="12" s="1"/>
  <c r="G57" i="12"/>
  <c r="A57" i="12" s="1"/>
  <c r="AH186" i="1" s="1"/>
  <c r="G61" i="12"/>
  <c r="A61" i="12" s="1"/>
  <c r="AH190" i="1" s="1"/>
  <c r="G65" i="12"/>
  <c r="A65" i="12" s="1"/>
  <c r="AH194" i="1" s="1"/>
  <c r="G69" i="12"/>
  <c r="A69" i="12" s="1"/>
  <c r="AH198" i="1" s="1"/>
  <c r="G34" i="12"/>
  <c r="A34" i="12" s="1"/>
  <c r="AH163" i="1" s="1"/>
  <c r="G22" i="12"/>
  <c r="A22" i="12" s="1"/>
  <c r="AH151" i="1" s="1"/>
  <c r="G46" i="12"/>
  <c r="A46" i="12" s="1"/>
  <c r="AH175" i="1" s="1"/>
  <c r="G40" i="12"/>
  <c r="A40" i="12" s="1"/>
  <c r="AH169" i="1" s="1"/>
  <c r="G56" i="12"/>
  <c r="A56" i="12" s="1"/>
  <c r="AH185" i="1" s="1"/>
  <c r="G37" i="12"/>
  <c r="G41" i="12"/>
  <c r="A41" i="12" s="1"/>
  <c r="AH170" i="1" s="1"/>
  <c r="G45" i="12"/>
  <c r="A45" i="12" s="1"/>
  <c r="AH174" i="1" s="1"/>
  <c r="G62" i="12"/>
  <c r="G66" i="12"/>
  <c r="G70" i="12"/>
  <c r="C70" i="12" s="1"/>
  <c r="G26" i="12"/>
  <c r="A26" i="12" s="1"/>
  <c r="AH155" i="1" s="1"/>
  <c r="G50" i="12"/>
  <c r="A50" i="12" s="1"/>
  <c r="AH179" i="1" s="1"/>
  <c r="G24" i="12"/>
  <c r="A24" i="12" s="1"/>
  <c r="AH153" i="1" s="1"/>
  <c r="G44" i="12"/>
  <c r="A44" i="12" s="1"/>
  <c r="AH173" i="1" s="1"/>
  <c r="G25" i="12"/>
  <c r="A25" i="12" s="1"/>
  <c r="AH154" i="1" s="1"/>
  <c r="G29" i="12"/>
  <c r="A29" i="12" s="1"/>
  <c r="AH158" i="1" s="1"/>
  <c r="G33" i="12"/>
  <c r="A33" i="12" s="1"/>
  <c r="AH162" i="1" s="1"/>
  <c r="G47" i="12"/>
  <c r="A47" i="12" s="1"/>
  <c r="AH176" i="1" s="1"/>
  <c r="G55" i="12"/>
  <c r="A55" i="12" s="1"/>
  <c r="AH184" i="1" s="1"/>
  <c r="G63" i="12"/>
  <c r="A63" i="12" s="1"/>
  <c r="AH192" i="1" s="1"/>
  <c r="D80" i="12"/>
  <c r="D81" i="12" s="1"/>
  <c r="D82" i="12" s="1"/>
  <c r="A154" i="12"/>
  <c r="A155" i="12" s="1"/>
  <c r="A149" i="12"/>
  <c r="A150" i="12" s="1"/>
  <c r="G11" i="12"/>
  <c r="C78" i="12"/>
  <c r="I11" i="12"/>
  <c r="L38" i="1"/>
  <c r="C71" i="12" l="1"/>
  <c r="C26" i="12"/>
  <c r="C34" i="12"/>
  <c r="H63" i="12"/>
  <c r="BX186" i="12"/>
  <c r="F106" i="19" s="1"/>
  <c r="BL186" i="12"/>
  <c r="F105" i="18" s="1"/>
  <c r="BF186" i="12"/>
  <c r="BR186" i="12"/>
  <c r="BD129" i="12"/>
  <c r="BJ129" i="12"/>
  <c r="H106" i="17" s="1"/>
  <c r="AX129" i="12"/>
  <c r="H29" i="12"/>
  <c r="BR152" i="12"/>
  <c r="BX152" i="12"/>
  <c r="F72" i="19" s="1"/>
  <c r="BF152" i="12"/>
  <c r="BL152" i="12"/>
  <c r="F71" i="18" s="1"/>
  <c r="BJ95" i="12"/>
  <c r="H72" i="17" s="1"/>
  <c r="AX95" i="12"/>
  <c r="BD95" i="12"/>
  <c r="H50" i="12"/>
  <c r="BR173" i="12"/>
  <c r="BX173" i="12"/>
  <c r="F93" i="19" s="1"/>
  <c r="BF173" i="12"/>
  <c r="BL173" i="12"/>
  <c r="F92" i="18" s="1"/>
  <c r="BD116" i="12"/>
  <c r="AX116" i="12"/>
  <c r="BJ116" i="12"/>
  <c r="H93" i="17" s="1"/>
  <c r="H56" i="12"/>
  <c r="BL179" i="12"/>
  <c r="F98" i="18" s="1"/>
  <c r="BF179" i="12"/>
  <c r="BR179" i="12"/>
  <c r="BJ122" i="12"/>
  <c r="H99" i="17" s="1"/>
  <c r="BD122" i="12"/>
  <c r="BX179" i="12"/>
  <c r="F99" i="19" s="1"/>
  <c r="AX122" i="12"/>
  <c r="H34" i="12"/>
  <c r="BF157" i="12"/>
  <c r="BR157" i="12"/>
  <c r="BL157" i="12"/>
  <c r="F76" i="18" s="1"/>
  <c r="BD100" i="12"/>
  <c r="BX157" i="12"/>
  <c r="F77" i="19" s="1"/>
  <c r="BJ100" i="12"/>
  <c r="H77" i="17" s="1"/>
  <c r="AX100" i="12"/>
  <c r="H57" i="12"/>
  <c r="BR180" i="12"/>
  <c r="BX180" i="12"/>
  <c r="F100" i="19" s="1"/>
  <c r="BL180" i="12"/>
  <c r="F99" i="18" s="1"/>
  <c r="BF180" i="12"/>
  <c r="BJ123" i="12"/>
  <c r="H100" i="17" s="1"/>
  <c r="AX123" i="12"/>
  <c r="BD123" i="12"/>
  <c r="H27" i="12"/>
  <c r="BL150" i="12"/>
  <c r="F69" i="18" s="1"/>
  <c r="BX150" i="12"/>
  <c r="F70" i="19" s="1"/>
  <c r="BF150" i="12"/>
  <c r="BD93" i="12"/>
  <c r="BJ93" i="12"/>
  <c r="H70" i="17" s="1"/>
  <c r="BR150" i="12"/>
  <c r="AX93" i="12"/>
  <c r="H58" i="12"/>
  <c r="BR181" i="12"/>
  <c r="BF181" i="12"/>
  <c r="BX181" i="12"/>
  <c r="F101" i="19" s="1"/>
  <c r="BL181" i="12"/>
  <c r="F100" i="18" s="1"/>
  <c r="BJ124" i="12"/>
  <c r="H101" i="17" s="1"/>
  <c r="AX124" i="12"/>
  <c r="BD124" i="12"/>
  <c r="H67" i="12"/>
  <c r="BX190" i="12"/>
  <c r="F110" i="19" s="1"/>
  <c r="BL190" i="12"/>
  <c r="F109" i="18" s="1"/>
  <c r="BR190" i="12"/>
  <c r="BF190" i="12"/>
  <c r="BJ133" i="12"/>
  <c r="H110" i="17" s="1"/>
  <c r="BD133" i="12"/>
  <c r="AX133" i="12"/>
  <c r="H64" i="12"/>
  <c r="BX187" i="12"/>
  <c r="F107" i="19" s="1"/>
  <c r="BL187" i="12"/>
  <c r="F106" i="18" s="1"/>
  <c r="BF187" i="12"/>
  <c r="BR187" i="12"/>
  <c r="AX130" i="12"/>
  <c r="BD130" i="12"/>
  <c r="BJ130" i="12"/>
  <c r="H107" i="17" s="1"/>
  <c r="H35" i="12"/>
  <c r="BR158" i="12"/>
  <c r="BX158" i="12"/>
  <c r="F78" i="19" s="1"/>
  <c r="BL158" i="12"/>
  <c r="F77" i="18" s="1"/>
  <c r="BJ101" i="12"/>
  <c r="H78" i="17" s="1"/>
  <c r="AX101" i="12"/>
  <c r="BF158" i="12"/>
  <c r="BD101" i="12"/>
  <c r="H54" i="12"/>
  <c r="BX177" i="12"/>
  <c r="F97" i="19" s="1"/>
  <c r="BL177" i="12"/>
  <c r="F96" i="18" s="1"/>
  <c r="BF177" i="12"/>
  <c r="BD120" i="12"/>
  <c r="BJ120" i="12"/>
  <c r="H97" i="17" s="1"/>
  <c r="BR177" i="12"/>
  <c r="AX120" i="12"/>
  <c r="H55" i="12"/>
  <c r="BR178" i="12"/>
  <c r="BL178" i="12"/>
  <c r="F97" i="18" s="1"/>
  <c r="BF178" i="12"/>
  <c r="BJ121" i="12"/>
  <c r="H98" i="17" s="1"/>
  <c r="BX178" i="12"/>
  <c r="F98" i="19" s="1"/>
  <c r="AX121" i="12"/>
  <c r="BD121" i="12"/>
  <c r="H25" i="12"/>
  <c r="BX148" i="12"/>
  <c r="F68" i="19" s="1"/>
  <c r="BR148" i="12"/>
  <c r="BF148" i="12"/>
  <c r="BD91" i="12"/>
  <c r="BJ91" i="12"/>
  <c r="H68" i="17" s="1"/>
  <c r="AX91" i="12"/>
  <c r="BL148" i="12"/>
  <c r="F67" i="18" s="1"/>
  <c r="H26" i="12"/>
  <c r="BX149" i="12"/>
  <c r="F69" i="19" s="1"/>
  <c r="BR149" i="12"/>
  <c r="BL149" i="12"/>
  <c r="F68" i="18" s="1"/>
  <c r="BF149" i="12"/>
  <c r="AX92" i="12"/>
  <c r="BJ92" i="12"/>
  <c r="H69" i="17" s="1"/>
  <c r="BD92" i="12"/>
  <c r="H45" i="12"/>
  <c r="BX168" i="12"/>
  <c r="F88" i="19" s="1"/>
  <c r="BL168" i="12"/>
  <c r="F87" i="18" s="1"/>
  <c r="BF168" i="12"/>
  <c r="BR168" i="12"/>
  <c r="BD111" i="12"/>
  <c r="AX111" i="12"/>
  <c r="BJ111" i="12"/>
  <c r="H88" i="17" s="1"/>
  <c r="H40" i="12"/>
  <c r="BL163" i="12"/>
  <c r="F82" i="18" s="1"/>
  <c r="BX163" i="12"/>
  <c r="F83" i="19" s="1"/>
  <c r="BF163" i="12"/>
  <c r="BD106" i="12"/>
  <c r="BR163" i="12"/>
  <c r="AX106" i="12"/>
  <c r="BJ106" i="12"/>
  <c r="H83" i="17" s="1"/>
  <c r="H69" i="12"/>
  <c r="BR192" i="12"/>
  <c r="BX192" i="12"/>
  <c r="F112" i="19" s="1"/>
  <c r="BL192" i="12"/>
  <c r="F111" i="18" s="1"/>
  <c r="BF192" i="12"/>
  <c r="BD135" i="12"/>
  <c r="AX135" i="12"/>
  <c r="BJ135" i="12"/>
  <c r="H112" i="17" s="1"/>
  <c r="H23" i="12"/>
  <c r="BL146" i="12"/>
  <c r="F65" i="18" s="1"/>
  <c r="BF146" i="12"/>
  <c r="BD89" i="12"/>
  <c r="BJ89" i="12"/>
  <c r="H66" i="17" s="1"/>
  <c r="AX89" i="12"/>
  <c r="BX146" i="12"/>
  <c r="F66" i="19" s="1"/>
  <c r="BR146" i="12"/>
  <c r="H42" i="12"/>
  <c r="BR165" i="12"/>
  <c r="BL165" i="12"/>
  <c r="F84" i="18" s="1"/>
  <c r="BF165" i="12"/>
  <c r="BX165" i="12"/>
  <c r="F85" i="19" s="1"/>
  <c r="AX108" i="12"/>
  <c r="BJ108" i="12"/>
  <c r="H85" i="17" s="1"/>
  <c r="BD108" i="12"/>
  <c r="H59" i="12"/>
  <c r="BX182" i="12"/>
  <c r="F102" i="19" s="1"/>
  <c r="BL182" i="12"/>
  <c r="F101" i="18" s="1"/>
  <c r="BR182" i="12"/>
  <c r="BF182" i="12"/>
  <c r="BD125" i="12"/>
  <c r="AX125" i="12"/>
  <c r="BJ125" i="12"/>
  <c r="H102" i="17" s="1"/>
  <c r="H38" i="12"/>
  <c r="BX161" i="12"/>
  <c r="F81" i="19" s="1"/>
  <c r="BL161" i="12"/>
  <c r="F80" i="18" s="1"/>
  <c r="BR161" i="12"/>
  <c r="BJ104" i="12"/>
  <c r="H81" i="17" s="1"/>
  <c r="AX104" i="12"/>
  <c r="BF161" i="12"/>
  <c r="BD104" i="12"/>
  <c r="H47" i="12"/>
  <c r="BX170" i="12"/>
  <c r="F90" i="19" s="1"/>
  <c r="BL170" i="12"/>
  <c r="F89" i="18" s="1"/>
  <c r="BF170" i="12"/>
  <c r="BR170" i="12"/>
  <c r="BD113" i="12"/>
  <c r="BJ113" i="12"/>
  <c r="H90" i="17" s="1"/>
  <c r="AX113" i="12"/>
  <c r="H44" i="12"/>
  <c r="BX167" i="12"/>
  <c r="F87" i="19" s="1"/>
  <c r="BR167" i="12"/>
  <c r="BF167" i="12"/>
  <c r="BL167" i="12"/>
  <c r="F86" i="18" s="1"/>
  <c r="BJ110" i="12"/>
  <c r="H87" i="17" s="1"/>
  <c r="BD110" i="12"/>
  <c r="AX110" i="12"/>
  <c r="H41" i="12"/>
  <c r="BR164" i="12"/>
  <c r="BF164" i="12"/>
  <c r="BL164" i="12"/>
  <c r="F83" i="18" s="1"/>
  <c r="BJ107" i="12"/>
  <c r="H84" i="17" s="1"/>
  <c r="BD107" i="12"/>
  <c r="BX164" i="12"/>
  <c r="F84" i="19" s="1"/>
  <c r="AX107" i="12"/>
  <c r="H46" i="12"/>
  <c r="BL169" i="12"/>
  <c r="F88" i="18" s="1"/>
  <c r="BF169" i="12"/>
  <c r="BR169" i="12"/>
  <c r="BX169" i="12"/>
  <c r="F89" i="19" s="1"/>
  <c r="BJ112" i="12"/>
  <c r="H89" i="17" s="1"/>
  <c r="BD112" i="12"/>
  <c r="AX112" i="12"/>
  <c r="H65" i="12"/>
  <c r="BX188" i="12"/>
  <c r="F108" i="19" s="1"/>
  <c r="BR188" i="12"/>
  <c r="BF188" i="12"/>
  <c r="BL188" i="12"/>
  <c r="F107" i="18" s="1"/>
  <c r="AX131" i="12"/>
  <c r="BJ131" i="12"/>
  <c r="H108" i="17" s="1"/>
  <c r="BD131" i="12"/>
  <c r="H49" i="12"/>
  <c r="BX172" i="12"/>
  <c r="F92" i="19" s="1"/>
  <c r="BL172" i="12"/>
  <c r="F91" i="18" s="1"/>
  <c r="BF172" i="12"/>
  <c r="BR172" i="12"/>
  <c r="AX115" i="12"/>
  <c r="BD115" i="12"/>
  <c r="BJ115" i="12"/>
  <c r="H92" i="17" s="1"/>
  <c r="H52" i="12"/>
  <c r="BX175" i="12"/>
  <c r="F95" i="19" s="1"/>
  <c r="BF175" i="12"/>
  <c r="BR175" i="12"/>
  <c r="BL175" i="12"/>
  <c r="F94" i="18" s="1"/>
  <c r="AX118" i="12"/>
  <c r="BJ118" i="12"/>
  <c r="H95" i="17" s="1"/>
  <c r="BD118" i="12"/>
  <c r="H32" i="12"/>
  <c r="BX155" i="12"/>
  <c r="F75" i="19" s="1"/>
  <c r="BR155" i="12"/>
  <c r="BF155" i="12"/>
  <c r="BL155" i="12"/>
  <c r="F74" i="18" s="1"/>
  <c r="AX98" i="12"/>
  <c r="BJ98" i="12"/>
  <c r="H75" i="17" s="1"/>
  <c r="BD98" i="12"/>
  <c r="H51" i="12"/>
  <c r="BL174" i="12"/>
  <c r="F93" i="18" s="1"/>
  <c r="BR174" i="12"/>
  <c r="BF174" i="12"/>
  <c r="BD117" i="12"/>
  <c r="AX117" i="12"/>
  <c r="BJ117" i="12"/>
  <c r="H94" i="17" s="1"/>
  <c r="BX174" i="12"/>
  <c r="F94" i="19" s="1"/>
  <c r="H43" i="12"/>
  <c r="BX166" i="12"/>
  <c r="F86" i="19" s="1"/>
  <c r="BF166" i="12"/>
  <c r="BL166" i="12"/>
  <c r="F85" i="18" s="1"/>
  <c r="BR166" i="12"/>
  <c r="BD109" i="12"/>
  <c r="AX109" i="12"/>
  <c r="BJ109" i="12"/>
  <c r="H86" i="17" s="1"/>
  <c r="H48" i="12"/>
  <c r="BX171" i="12"/>
  <c r="F91" i="19" s="1"/>
  <c r="BR171" i="12"/>
  <c r="BF171" i="12"/>
  <c r="BL171" i="12"/>
  <c r="F90" i="18" s="1"/>
  <c r="BD114" i="12"/>
  <c r="AX114" i="12"/>
  <c r="BJ114" i="12"/>
  <c r="H91" i="17" s="1"/>
  <c r="BL194" i="12"/>
  <c r="F113" i="18" s="1"/>
  <c r="BF194" i="12"/>
  <c r="BX194" i="12"/>
  <c r="F114" i="19" s="1"/>
  <c r="BR194" i="12"/>
  <c r="BD137" i="12"/>
  <c r="BJ137" i="12"/>
  <c r="H114" i="17" s="1"/>
  <c r="AX137" i="12"/>
  <c r="H33" i="12"/>
  <c r="BL156" i="12"/>
  <c r="F75" i="18" s="1"/>
  <c r="BR156" i="12"/>
  <c r="BX156" i="12"/>
  <c r="F76" i="19" s="1"/>
  <c r="BD99" i="12"/>
  <c r="AX99" i="12"/>
  <c r="BF156" i="12"/>
  <c r="BJ99" i="12"/>
  <c r="H76" i="17" s="1"/>
  <c r="H24" i="12"/>
  <c r="BL147" i="12"/>
  <c r="F66" i="18" s="1"/>
  <c r="BX147" i="12"/>
  <c r="F67" i="19" s="1"/>
  <c r="BR147" i="12"/>
  <c r="BJ90" i="12"/>
  <c r="H67" i="17" s="1"/>
  <c r="BD90" i="12"/>
  <c r="BF147" i="12"/>
  <c r="AX90" i="12"/>
  <c r="H22" i="12"/>
  <c r="BX145" i="12"/>
  <c r="F65" i="19" s="1"/>
  <c r="BL145" i="12"/>
  <c r="F64" i="18" s="1"/>
  <c r="BF145" i="12"/>
  <c r="BJ88" i="12"/>
  <c r="H65" i="17" s="1"/>
  <c r="BD88" i="12"/>
  <c r="AX88" i="12"/>
  <c r="BR145" i="12"/>
  <c r="H61" i="12"/>
  <c r="BX184" i="12"/>
  <c r="F104" i="19" s="1"/>
  <c r="BL184" i="12"/>
  <c r="F103" i="18" s="1"/>
  <c r="BR184" i="12"/>
  <c r="BF184" i="12"/>
  <c r="BJ127" i="12"/>
  <c r="H104" i="17" s="1"/>
  <c r="BD127" i="12"/>
  <c r="AX127" i="12"/>
  <c r="H31" i="12"/>
  <c r="BX154" i="12"/>
  <c r="F74" i="19" s="1"/>
  <c r="BF154" i="12"/>
  <c r="AX97" i="12"/>
  <c r="BD97" i="12"/>
  <c r="BJ97" i="12"/>
  <c r="H74" i="17" s="1"/>
  <c r="BR154" i="12"/>
  <c r="BL154" i="12"/>
  <c r="F73" i="18" s="1"/>
  <c r="H36" i="12"/>
  <c r="BR159" i="12"/>
  <c r="BF159" i="12"/>
  <c r="BL159" i="12"/>
  <c r="F78" i="18" s="1"/>
  <c r="BX159" i="12"/>
  <c r="F79" i="19" s="1"/>
  <c r="AX102" i="12"/>
  <c r="BJ102" i="12"/>
  <c r="H79" i="17" s="1"/>
  <c r="BD102" i="12"/>
  <c r="H28" i="12"/>
  <c r="BL151" i="12"/>
  <c r="F70" i="18" s="1"/>
  <c r="BR151" i="12"/>
  <c r="BX151" i="12"/>
  <c r="F71" i="19" s="1"/>
  <c r="BF151" i="12"/>
  <c r="BJ94" i="12"/>
  <c r="H71" i="17" s="1"/>
  <c r="AX94" i="12"/>
  <c r="BD94" i="12"/>
  <c r="H68" i="12"/>
  <c r="BL191" i="12"/>
  <c r="F110" i="18" s="1"/>
  <c r="BF191" i="12"/>
  <c r="BR191" i="12"/>
  <c r="BX191" i="12"/>
  <c r="F111" i="19" s="1"/>
  <c r="BD134" i="12"/>
  <c r="BJ134" i="12"/>
  <c r="H111" i="17" s="1"/>
  <c r="AX134" i="12"/>
  <c r="H39" i="12"/>
  <c r="BL162" i="12"/>
  <c r="F81" i="18" s="1"/>
  <c r="BF162" i="12"/>
  <c r="BR162" i="12"/>
  <c r="BX162" i="12"/>
  <c r="F82" i="19" s="1"/>
  <c r="BJ105" i="12"/>
  <c r="H82" i="17" s="1"/>
  <c r="AX105" i="12"/>
  <c r="BD105" i="12"/>
  <c r="H30" i="12"/>
  <c r="BR153" i="12"/>
  <c r="BL153" i="12"/>
  <c r="F72" i="18" s="1"/>
  <c r="BF153" i="12"/>
  <c r="BJ96" i="12"/>
  <c r="H73" i="17" s="1"/>
  <c r="BD96" i="12"/>
  <c r="BX153" i="12"/>
  <c r="F73" i="19" s="1"/>
  <c r="AX96" i="12"/>
  <c r="D48" i="12"/>
  <c r="D38" i="12"/>
  <c r="D55" i="12"/>
  <c r="D26" i="12"/>
  <c r="D54" i="12"/>
  <c r="C64" i="12"/>
  <c r="D67" i="12"/>
  <c r="C43" i="12"/>
  <c r="D65" i="12"/>
  <c r="D59" i="12"/>
  <c r="C38" i="12"/>
  <c r="C23" i="12"/>
  <c r="D42" i="12"/>
  <c r="C55" i="12"/>
  <c r="C69" i="12"/>
  <c r="C40" i="12"/>
  <c r="C32" i="12"/>
  <c r="C45" i="12"/>
  <c r="D45" i="12"/>
  <c r="D25" i="12"/>
  <c r="C25" i="12"/>
  <c r="C42" i="12"/>
  <c r="D64" i="12"/>
  <c r="C67" i="12"/>
  <c r="C57" i="12"/>
  <c r="C35" i="12"/>
  <c r="D57" i="12"/>
  <c r="D23" i="12"/>
  <c r="D69" i="12"/>
  <c r="C59" i="12"/>
  <c r="D40" i="12"/>
  <c r="C61" i="12"/>
  <c r="C68" i="12"/>
  <c r="D39" i="12"/>
  <c r="D28" i="12"/>
  <c r="C29" i="12"/>
  <c r="C36" i="12"/>
  <c r="D61" i="12"/>
  <c r="C30" i="12"/>
  <c r="C28" i="12"/>
  <c r="D41" i="12"/>
  <c r="C46" i="12"/>
  <c r="C41" i="12"/>
  <c r="D44" i="12"/>
  <c r="D71" i="12"/>
  <c r="C52" i="12"/>
  <c r="D46" i="12"/>
  <c r="D49" i="12"/>
  <c r="D47" i="12"/>
  <c r="C47" i="12"/>
  <c r="D34" i="12"/>
  <c r="C27" i="12"/>
  <c r="C48" i="12"/>
  <c r="D58" i="12"/>
  <c r="D52" i="12"/>
  <c r="D43" i="12"/>
  <c r="C65" i="12"/>
  <c r="D51" i="12"/>
  <c r="C51" i="12"/>
  <c r="D32" i="12"/>
  <c r="C49" i="12"/>
  <c r="D83" i="12"/>
  <c r="D66" i="12"/>
  <c r="A66" i="12"/>
  <c r="AH195" i="1" s="1"/>
  <c r="C37" i="12"/>
  <c r="A37" i="12"/>
  <c r="AH166" i="1" s="1"/>
  <c r="C22" i="12"/>
  <c r="D36" i="12"/>
  <c r="D30" i="12"/>
  <c r="D62" i="12"/>
  <c r="A62" i="12"/>
  <c r="AH191" i="1" s="1"/>
  <c r="D29" i="12"/>
  <c r="D27" i="12"/>
  <c r="C56" i="12"/>
  <c r="C66" i="12"/>
  <c r="C24" i="12"/>
  <c r="D35" i="12"/>
  <c r="C44" i="12"/>
  <c r="D50" i="12"/>
  <c r="C58" i="12"/>
  <c r="C33" i="12"/>
  <c r="C54" i="12"/>
  <c r="D56" i="12"/>
  <c r="C53" i="12"/>
  <c r="A53" i="12"/>
  <c r="AH182" i="1" s="1"/>
  <c r="D60" i="12"/>
  <c r="A60" i="12"/>
  <c r="AH189" i="1" s="1"/>
  <c r="C21" i="12"/>
  <c r="A21" i="12"/>
  <c r="AH150" i="1" s="1"/>
  <c r="A86" i="12"/>
  <c r="AE149" i="1" s="1"/>
  <c r="C79" i="12"/>
  <c r="E79" i="12" s="1"/>
  <c r="C31" i="12"/>
  <c r="D68" i="12"/>
  <c r="D33" i="12"/>
  <c r="D37" i="12"/>
  <c r="D24" i="12"/>
  <c r="D63" i="12"/>
  <c r="C39" i="12"/>
  <c r="D31" i="12"/>
  <c r="C63" i="12"/>
  <c r="C62" i="12"/>
  <c r="D22" i="12"/>
  <c r="C50" i="12"/>
  <c r="D70" i="12"/>
  <c r="A70" i="12"/>
  <c r="AH199" i="1" s="1"/>
  <c r="E84" i="1"/>
  <c r="R77" i="1" s="1"/>
  <c r="H66" i="12" l="1"/>
  <c r="BL189" i="12"/>
  <c r="F108" i="18" s="1"/>
  <c r="BR189" i="12"/>
  <c r="BX189" i="12"/>
  <c r="F109" i="19" s="1"/>
  <c r="BJ132" i="12"/>
  <c r="H109" i="17" s="1"/>
  <c r="BD132" i="12"/>
  <c r="BF189" i="12"/>
  <c r="AX132" i="12"/>
  <c r="AK143" i="12"/>
  <c r="BC143" i="12"/>
  <c r="AA143" i="12"/>
  <c r="AT143" i="12"/>
  <c r="AK86" i="12"/>
  <c r="AT86" i="12"/>
  <c r="AA86" i="12"/>
  <c r="AI86" i="12"/>
  <c r="AI143" i="12"/>
  <c r="AR143" i="12"/>
  <c r="BA143" i="12"/>
  <c r="Y143" i="12"/>
  <c r="Y86" i="12"/>
  <c r="AR86" i="12"/>
  <c r="H37" i="12"/>
  <c r="BX160" i="12"/>
  <c r="F80" i="19" s="1"/>
  <c r="BF160" i="12"/>
  <c r="BL160" i="12"/>
  <c r="F79" i="18" s="1"/>
  <c r="BR160" i="12"/>
  <c r="BJ103" i="12"/>
  <c r="H80" i="17" s="1"/>
  <c r="BD103" i="12"/>
  <c r="AX103" i="12"/>
  <c r="H70" i="12"/>
  <c r="BL193" i="12"/>
  <c r="F112" i="18" s="1"/>
  <c r="BF193" i="12"/>
  <c r="BX193" i="12"/>
  <c r="F113" i="19" s="1"/>
  <c r="BR193" i="12"/>
  <c r="AX136" i="12"/>
  <c r="BJ136" i="12"/>
  <c r="H113" i="17" s="1"/>
  <c r="BD136" i="12"/>
  <c r="BX144" i="12"/>
  <c r="F64" i="19" s="1"/>
  <c r="BL144" i="12"/>
  <c r="F63" i="18" s="1"/>
  <c r="BR144" i="12"/>
  <c r="BF144" i="12"/>
  <c r="BJ87" i="12"/>
  <c r="H64" i="17" s="1"/>
  <c r="BD87" i="12"/>
  <c r="AX87" i="12"/>
  <c r="H53" i="12"/>
  <c r="BL176" i="12"/>
  <c r="F95" i="18" s="1"/>
  <c r="BF176" i="12"/>
  <c r="BX176" i="12"/>
  <c r="F96" i="19" s="1"/>
  <c r="BJ119" i="12"/>
  <c r="H96" i="17" s="1"/>
  <c r="BR176" i="12"/>
  <c r="BD119" i="12"/>
  <c r="AX119" i="12"/>
  <c r="H60" i="12"/>
  <c r="BL183" i="12"/>
  <c r="F102" i="18" s="1"/>
  <c r="BX183" i="12"/>
  <c r="F103" i="19" s="1"/>
  <c r="BR183" i="12"/>
  <c r="BF183" i="12"/>
  <c r="AX126" i="12"/>
  <c r="BJ126" i="12"/>
  <c r="H103" i="17" s="1"/>
  <c r="BD126" i="12"/>
  <c r="H62" i="12"/>
  <c r="BL185" i="12"/>
  <c r="F104" i="18" s="1"/>
  <c r="BX185" i="12"/>
  <c r="F105" i="19" s="1"/>
  <c r="BR185" i="12"/>
  <c r="BF185" i="12"/>
  <c r="BD128" i="12"/>
  <c r="BJ128" i="12"/>
  <c r="H105" i="17" s="1"/>
  <c r="AX128" i="12"/>
  <c r="C80" i="12"/>
  <c r="A20" i="12"/>
  <c r="AH149" i="1" s="1"/>
  <c r="H21" i="12"/>
  <c r="Q100" i="12"/>
  <c r="D86" i="12"/>
  <c r="K150" i="1"/>
  <c r="G72" i="1"/>
  <c r="D72" i="1"/>
  <c r="B143" i="1" s="1"/>
  <c r="C59" i="1"/>
  <c r="AB137" i="12" s="1"/>
  <c r="C56" i="17" s="1"/>
  <c r="BJ143" i="12" l="1"/>
  <c r="C62" i="18" s="1"/>
  <c r="C81" i="12"/>
  <c r="C82" i="12" s="1"/>
  <c r="C83" i="12" s="1"/>
  <c r="G73" i="12" s="1"/>
  <c r="AB143" i="12"/>
  <c r="C5" i="18" s="1"/>
  <c r="AU143" i="12"/>
  <c r="C6" i="19" s="1"/>
  <c r="AB86" i="12"/>
  <c r="AL86" i="12"/>
  <c r="AL143" i="12"/>
  <c r="E5" i="18" s="1"/>
  <c r="AU86" i="12"/>
  <c r="BD143" i="12"/>
  <c r="E6" i="19" s="1"/>
  <c r="CB143" i="12"/>
  <c r="E63" i="19" s="1"/>
  <c r="BV143" i="12"/>
  <c r="C63" i="19" s="1"/>
  <c r="BP143" i="12"/>
  <c r="E62" i="18" s="1"/>
  <c r="BB86" i="12"/>
  <c r="C63" i="17" s="1"/>
  <c r="BN86" i="12"/>
  <c r="G63" i="17" s="1"/>
  <c r="BH86" i="12"/>
  <c r="E63" i="17" s="1"/>
  <c r="BX143" i="12"/>
  <c r="F63" i="19" s="1"/>
  <c r="G63" i="19" s="1"/>
  <c r="BF143" i="12"/>
  <c r="BD86" i="12"/>
  <c r="BL143" i="12"/>
  <c r="F62" i="18" s="1"/>
  <c r="G62" i="18" s="1"/>
  <c r="BR143" i="12"/>
  <c r="BJ86" i="12"/>
  <c r="H63" i="17" s="1"/>
  <c r="I63" i="17" s="1"/>
  <c r="AX86" i="12"/>
  <c r="E80" i="12"/>
  <c r="Q80" i="1"/>
  <c r="P80" i="1"/>
  <c r="R80" i="1"/>
  <c r="R87" i="1" s="1"/>
  <c r="M145" i="1"/>
  <c r="E83" i="1"/>
  <c r="AD144" i="1" l="1"/>
  <c r="AD142" i="1"/>
  <c r="AD143" i="1"/>
  <c r="G5" i="17"/>
  <c r="W63" i="17" s="1"/>
  <c r="E5" i="17"/>
  <c r="U63" i="17" s="1"/>
  <c r="C5" i="17"/>
  <c r="S63" i="17" s="1"/>
  <c r="L20" i="2"/>
  <c r="E81" i="12"/>
  <c r="E82" i="12" s="1"/>
  <c r="E83" i="12" s="1"/>
  <c r="D73" i="12"/>
  <c r="C73" i="12"/>
  <c r="G64" i="19"/>
  <c r="G63" i="18"/>
  <c r="I64" i="17"/>
  <c r="L141" i="1"/>
  <c r="P89" i="1"/>
  <c r="R90" i="1"/>
  <c r="R89" i="1"/>
  <c r="Q90" i="1"/>
  <c r="Q89" i="1"/>
  <c r="P90" i="1"/>
  <c r="D90" i="1"/>
  <c r="L116" i="1"/>
  <c r="L117" i="1"/>
  <c r="L118" i="1"/>
  <c r="L115" i="1"/>
  <c r="C90" i="1"/>
  <c r="G64" i="18" l="1"/>
  <c r="G65" i="19"/>
  <c r="I65" i="17"/>
  <c r="G105" i="1"/>
  <c r="R91" i="1"/>
  <c r="P91" i="1"/>
  <c r="Q91" i="1"/>
  <c r="G90" i="1"/>
  <c r="F90" i="1"/>
  <c r="E90" i="1"/>
  <c r="J170" i="1"/>
  <c r="L170" i="1" l="1"/>
  <c r="C2" i="12" s="1"/>
  <c r="D3" i="19" s="1"/>
  <c r="B119" i="19" s="1"/>
  <c r="G66" i="19"/>
  <c r="I66" i="17"/>
  <c r="G65" i="18"/>
  <c r="D165" i="1"/>
  <c r="H165" i="1"/>
  <c r="G166" i="1"/>
  <c r="F167" i="1"/>
  <c r="E168" i="1"/>
  <c r="D169" i="1"/>
  <c r="H169" i="1"/>
  <c r="G170" i="1"/>
  <c r="F171" i="1"/>
  <c r="E172" i="1"/>
  <c r="D173" i="1"/>
  <c r="H173" i="1"/>
  <c r="G174" i="1"/>
  <c r="C168" i="1"/>
  <c r="C172" i="1"/>
  <c r="D161" i="1"/>
  <c r="H161" i="1"/>
  <c r="G162" i="1"/>
  <c r="F163" i="1"/>
  <c r="E164" i="1"/>
  <c r="C162" i="1"/>
  <c r="E165" i="1"/>
  <c r="D166" i="1"/>
  <c r="H166" i="1"/>
  <c r="G167" i="1"/>
  <c r="F168" i="1"/>
  <c r="D170" i="1"/>
  <c r="H170" i="1"/>
  <c r="F172" i="1"/>
  <c r="D174" i="1"/>
  <c r="C169" i="1"/>
  <c r="E161" i="1"/>
  <c r="D162" i="1"/>
  <c r="G163" i="1"/>
  <c r="C163" i="1"/>
  <c r="E166" i="1"/>
  <c r="G168" i="1"/>
  <c r="E170" i="1"/>
  <c r="H171" i="1"/>
  <c r="F173" i="1"/>
  <c r="C166" i="1"/>
  <c r="C174" i="1"/>
  <c r="E162" i="1"/>
  <c r="H163" i="1"/>
  <c r="C164" i="1"/>
  <c r="G165" i="1"/>
  <c r="F166" i="1"/>
  <c r="E167" i="1"/>
  <c r="D168" i="1"/>
  <c r="H168" i="1"/>
  <c r="G169" i="1"/>
  <c r="F170" i="1"/>
  <c r="E171" i="1"/>
  <c r="D172" i="1"/>
  <c r="H172" i="1"/>
  <c r="G173" i="1"/>
  <c r="F174" i="1"/>
  <c r="C167" i="1"/>
  <c r="C171" i="1"/>
  <c r="C165" i="1"/>
  <c r="G161" i="1"/>
  <c r="F162" i="1"/>
  <c r="E163" i="1"/>
  <c r="D164" i="1"/>
  <c r="H164" i="1"/>
  <c r="E169" i="1"/>
  <c r="G171" i="1"/>
  <c r="E173" i="1"/>
  <c r="H174" i="1"/>
  <c r="C173" i="1"/>
  <c r="H162" i="1"/>
  <c r="F164" i="1"/>
  <c r="F165" i="1"/>
  <c r="D167" i="1"/>
  <c r="H167" i="1"/>
  <c r="F169" i="1"/>
  <c r="D171" i="1"/>
  <c r="G172" i="1"/>
  <c r="E174" i="1"/>
  <c r="C170" i="1"/>
  <c r="F161" i="1"/>
  <c r="D163" i="1"/>
  <c r="G164" i="1"/>
  <c r="C161" i="1"/>
  <c r="V356" i="1"/>
  <c r="P77" i="1"/>
  <c r="E59" i="12" l="1"/>
  <c r="F59" i="12" s="1"/>
  <c r="B59" i="12" s="1"/>
  <c r="AG188" i="1" s="1"/>
  <c r="E23" i="12"/>
  <c r="F23" i="12" s="1"/>
  <c r="B23" i="12" s="1"/>
  <c r="AG152" i="1" s="1"/>
  <c r="E41" i="12"/>
  <c r="F41" i="12" s="1"/>
  <c r="B41" i="12" s="1"/>
  <c r="AG170" i="1" s="1"/>
  <c r="E47" i="12"/>
  <c r="F47" i="12" s="1"/>
  <c r="B47" i="12" s="1"/>
  <c r="AG176" i="1" s="1"/>
  <c r="E37" i="12"/>
  <c r="F37" i="12" s="1"/>
  <c r="B37" i="12" s="1"/>
  <c r="AG166" i="1" s="1"/>
  <c r="E25" i="12"/>
  <c r="F25" i="12" s="1"/>
  <c r="B25" i="12" s="1"/>
  <c r="AG154" i="1" s="1"/>
  <c r="E28" i="12"/>
  <c r="F28" i="12" s="1"/>
  <c r="B28" i="12" s="1"/>
  <c r="AG157" i="1" s="1"/>
  <c r="E58" i="12"/>
  <c r="F58" i="12" s="1"/>
  <c r="B58" i="12" s="1"/>
  <c r="AG187" i="1" s="1"/>
  <c r="D2" i="18"/>
  <c r="B117" i="18" s="1"/>
  <c r="E39" i="12"/>
  <c r="F39" i="12" s="1"/>
  <c r="B39" i="12" s="1"/>
  <c r="AG168" i="1" s="1"/>
  <c r="E69" i="12"/>
  <c r="F69" i="12" s="1"/>
  <c r="B69" i="12" s="1"/>
  <c r="AG198" i="1" s="1"/>
  <c r="E63" i="12"/>
  <c r="F63" i="12" s="1"/>
  <c r="B63" i="12" s="1"/>
  <c r="AG192" i="1" s="1"/>
  <c r="E49" i="12"/>
  <c r="F49" i="12" s="1"/>
  <c r="B49" i="12" s="1"/>
  <c r="AG178" i="1" s="1"/>
  <c r="E46" i="12"/>
  <c r="F46" i="12" s="1"/>
  <c r="B46" i="12" s="1"/>
  <c r="AG175" i="1" s="1"/>
  <c r="E35" i="12"/>
  <c r="F35" i="12" s="1"/>
  <c r="B35" i="12" s="1"/>
  <c r="AG164" i="1" s="1"/>
  <c r="E56" i="12"/>
  <c r="F56" i="12" s="1"/>
  <c r="B56" i="12" s="1"/>
  <c r="AG185" i="1" s="1"/>
  <c r="E22" i="12"/>
  <c r="F22" i="12" s="1"/>
  <c r="B22" i="12" s="1"/>
  <c r="AG151" i="1" s="1"/>
  <c r="E33" i="12"/>
  <c r="F33" i="12" s="1"/>
  <c r="B33" i="12" s="1"/>
  <c r="AG162" i="1" s="1"/>
  <c r="E57" i="12"/>
  <c r="F57" i="12" s="1"/>
  <c r="B57" i="12" s="1"/>
  <c r="AG186" i="1" s="1"/>
  <c r="E60" i="12"/>
  <c r="F60" i="12" s="1"/>
  <c r="B60" i="12" s="1"/>
  <c r="AG189" i="1" s="1"/>
  <c r="E64" i="12"/>
  <c r="F64" i="12" s="1"/>
  <c r="B64" i="12" s="1"/>
  <c r="AG193" i="1" s="1"/>
  <c r="E66" i="12"/>
  <c r="F66" i="12" s="1"/>
  <c r="B66" i="12" s="1"/>
  <c r="AG195" i="1" s="1"/>
  <c r="E29" i="12"/>
  <c r="F29" i="12" s="1"/>
  <c r="B29" i="12" s="1"/>
  <c r="AG158" i="1" s="1"/>
  <c r="E67" i="12"/>
  <c r="F67" i="12" s="1"/>
  <c r="B67" i="12" s="1"/>
  <c r="AG196" i="1" s="1"/>
  <c r="E54" i="12"/>
  <c r="F54" i="12" s="1"/>
  <c r="B54" i="12" s="1"/>
  <c r="AG183" i="1" s="1"/>
  <c r="E71" i="12"/>
  <c r="F71" i="12" s="1"/>
  <c r="B71" i="12" s="1"/>
  <c r="BM194" i="12" s="1"/>
  <c r="E62" i="12"/>
  <c r="F62" i="12" s="1"/>
  <c r="B62" i="12" s="1"/>
  <c r="AG191" i="1" s="1"/>
  <c r="E21" i="12"/>
  <c r="F21" i="12" s="1"/>
  <c r="B21" i="12" s="1"/>
  <c r="AG150" i="1" s="1"/>
  <c r="E70" i="12"/>
  <c r="F70" i="12" s="1"/>
  <c r="B70" i="12" s="1"/>
  <c r="AG199" i="1" s="1"/>
  <c r="E36" i="12"/>
  <c r="F36" i="12" s="1"/>
  <c r="B36" i="12" s="1"/>
  <c r="AG165" i="1" s="1"/>
  <c r="E43" i="12"/>
  <c r="F43" i="12" s="1"/>
  <c r="B43" i="12" s="1"/>
  <c r="AG172" i="1" s="1"/>
  <c r="E45" i="12"/>
  <c r="F45" i="12" s="1"/>
  <c r="B45" i="12" s="1"/>
  <c r="AG174" i="1" s="1"/>
  <c r="E73" i="12"/>
  <c r="F73" i="12" s="1"/>
  <c r="B73" i="12" s="1"/>
  <c r="B84" i="12" s="1"/>
  <c r="E40" i="12"/>
  <c r="F40" i="12" s="1"/>
  <c r="B40" i="12" s="1"/>
  <c r="AG169" i="1" s="1"/>
  <c r="C141" i="12"/>
  <c r="Q102" i="12" s="1"/>
  <c r="E61" i="12"/>
  <c r="F61" i="12" s="1"/>
  <c r="B61" i="12" s="1"/>
  <c r="AG190" i="1" s="1"/>
  <c r="E52" i="12"/>
  <c r="F52" i="12" s="1"/>
  <c r="B52" i="12" s="1"/>
  <c r="AG181" i="1" s="1"/>
  <c r="E53" i="12"/>
  <c r="F53" i="12" s="1"/>
  <c r="B53" i="12" s="1"/>
  <c r="AG182" i="1" s="1"/>
  <c r="E31" i="12"/>
  <c r="F31" i="12" s="1"/>
  <c r="B31" i="12" s="1"/>
  <c r="AG160" i="1" s="1"/>
  <c r="E24" i="12"/>
  <c r="F24" i="12" s="1"/>
  <c r="B24" i="12" s="1"/>
  <c r="AG153" i="1" s="1"/>
  <c r="E65" i="12"/>
  <c r="F65" i="12" s="1"/>
  <c r="B65" i="12" s="1"/>
  <c r="AG194" i="1" s="1"/>
  <c r="E34" i="12"/>
  <c r="F34" i="12" s="1"/>
  <c r="B34" i="12" s="1"/>
  <c r="AG163" i="1" s="1"/>
  <c r="E55" i="12"/>
  <c r="F55" i="12" s="1"/>
  <c r="B55" i="12" s="1"/>
  <c r="AG184" i="1" s="1"/>
  <c r="E68" i="12"/>
  <c r="F68" i="12" s="1"/>
  <c r="B68" i="12" s="1"/>
  <c r="AG197" i="1" s="1"/>
  <c r="E48" i="12"/>
  <c r="F48" i="12" s="1"/>
  <c r="B48" i="12" s="1"/>
  <c r="AG177" i="1" s="1"/>
  <c r="E44" i="12"/>
  <c r="F44" i="12" s="1"/>
  <c r="B44" i="12" s="1"/>
  <c r="AG173" i="1" s="1"/>
  <c r="D2" i="17"/>
  <c r="B116" i="17" s="1"/>
  <c r="E27" i="12"/>
  <c r="F27" i="12" s="1"/>
  <c r="B27" i="12" s="1"/>
  <c r="AG156" i="1" s="1"/>
  <c r="E51" i="12"/>
  <c r="F51" i="12" s="1"/>
  <c r="B51" i="12" s="1"/>
  <c r="AG180" i="1" s="1"/>
  <c r="E42" i="12"/>
  <c r="F42" i="12" s="1"/>
  <c r="B42" i="12" s="1"/>
  <c r="AG171" i="1" s="1"/>
  <c r="E26" i="12"/>
  <c r="F26" i="12" s="1"/>
  <c r="B26" i="12" s="1"/>
  <c r="AG155" i="1" s="1"/>
  <c r="E50" i="12"/>
  <c r="F50" i="12" s="1"/>
  <c r="B50" i="12" s="1"/>
  <c r="AG179" i="1" s="1"/>
  <c r="E32" i="12"/>
  <c r="F32" i="12" s="1"/>
  <c r="B32" i="12" s="1"/>
  <c r="AG161" i="1" s="1"/>
  <c r="E30" i="12"/>
  <c r="F30" i="12" s="1"/>
  <c r="B30" i="12" s="1"/>
  <c r="AG159" i="1" s="1"/>
  <c r="E38" i="12"/>
  <c r="F38" i="12" s="1"/>
  <c r="B38" i="12" s="1"/>
  <c r="AG167" i="1" s="1"/>
  <c r="C2" i="13"/>
  <c r="E73" i="13" s="1"/>
  <c r="F73" i="13" s="1"/>
  <c r="B73" i="13" s="1"/>
  <c r="G66" i="18"/>
  <c r="G67" i="19"/>
  <c r="I67" i="17"/>
  <c r="D154" i="1"/>
  <c r="D155" i="1"/>
  <c r="C156" i="1"/>
  <c r="D152" i="1"/>
  <c r="E160" i="1"/>
  <c r="H160" i="1"/>
  <c r="C152" i="1"/>
  <c r="G157" i="1"/>
  <c r="D153" i="1"/>
  <c r="C159" i="1"/>
  <c r="F152" i="1"/>
  <c r="C155" i="1"/>
  <c r="H153" i="1"/>
  <c r="H159" i="1"/>
  <c r="G160" i="1"/>
  <c r="H151" i="1"/>
  <c r="D156" i="1"/>
  <c r="C153" i="1"/>
  <c r="G154" i="1"/>
  <c r="D151" i="1"/>
  <c r="E151" i="1"/>
  <c r="G155" i="1"/>
  <c r="D159" i="1"/>
  <c r="F153" i="1"/>
  <c r="H156" i="1"/>
  <c r="C157" i="1"/>
  <c r="H157" i="1"/>
  <c r="E154" i="1"/>
  <c r="C154" i="1"/>
  <c r="H158" i="1"/>
  <c r="C151" i="1"/>
  <c r="G156" i="1"/>
  <c r="G153" i="1"/>
  <c r="F151" i="1"/>
  <c r="D157" i="1"/>
  <c r="G152" i="1"/>
  <c r="F160" i="1"/>
  <c r="C158" i="1"/>
  <c r="F156" i="1"/>
  <c r="E158" i="1"/>
  <c r="G159" i="1"/>
  <c r="F154" i="1"/>
  <c r="F158" i="1"/>
  <c r="F159" i="1"/>
  <c r="E152" i="1"/>
  <c r="E156" i="1"/>
  <c r="D160" i="1"/>
  <c r="F157" i="1"/>
  <c r="E155" i="1"/>
  <c r="E153" i="1"/>
  <c r="E157" i="1"/>
  <c r="C160" i="1"/>
  <c r="F155" i="1"/>
  <c r="G158" i="1"/>
  <c r="E159" i="1"/>
  <c r="H155" i="1"/>
  <c r="H152" i="1"/>
  <c r="G151" i="1"/>
  <c r="H154" i="1"/>
  <c r="D158" i="1"/>
  <c r="A235" i="1"/>
  <c r="A236" i="1"/>
  <c r="A237" i="1"/>
  <c r="A238" i="1"/>
  <c r="A240" i="1"/>
  <c r="A241" i="1"/>
  <c r="A242" i="1"/>
  <c r="A243" i="1"/>
  <c r="A244" i="1"/>
  <c r="A245" i="1"/>
  <c r="A246" i="1"/>
  <c r="A247" i="1"/>
  <c r="A248" i="1"/>
  <c r="A249" i="1"/>
  <c r="BE125" i="12" l="1"/>
  <c r="BF125" i="12" s="1"/>
  <c r="BM182" i="12"/>
  <c r="BO182" i="12" s="1"/>
  <c r="BP182" i="12" s="1"/>
  <c r="E101" i="18" s="1"/>
  <c r="BK125" i="12"/>
  <c r="BM125" i="12" s="1"/>
  <c r="BN125" i="12" s="1"/>
  <c r="G102" i="17" s="1"/>
  <c r="BY182" i="12"/>
  <c r="BZ182" i="12" s="1"/>
  <c r="D102" i="19" s="1"/>
  <c r="AY125" i="12"/>
  <c r="AZ125" i="12" s="1"/>
  <c r="BS182" i="12"/>
  <c r="BT182" i="12" s="1"/>
  <c r="B102" i="19" s="1"/>
  <c r="BG182" i="12"/>
  <c r="BH182" i="12" s="1"/>
  <c r="B101" i="18" s="1"/>
  <c r="AY135" i="12"/>
  <c r="BA135" i="12" s="1"/>
  <c r="BB135" i="12" s="1"/>
  <c r="C112" i="17" s="1"/>
  <c r="BK89" i="12"/>
  <c r="BM89" i="12" s="1"/>
  <c r="BN89" i="12" s="1"/>
  <c r="G66" i="17" s="1"/>
  <c r="BK107" i="12"/>
  <c r="BM107" i="12" s="1"/>
  <c r="BN107" i="12" s="1"/>
  <c r="G84" i="17" s="1"/>
  <c r="BE104" i="12"/>
  <c r="BG104" i="12" s="1"/>
  <c r="BH104" i="12" s="1"/>
  <c r="E81" i="17" s="1"/>
  <c r="BS170" i="12"/>
  <c r="BU170" i="12" s="1"/>
  <c r="BV170" i="12" s="1"/>
  <c r="C90" i="19" s="1"/>
  <c r="BG183" i="12"/>
  <c r="BI183" i="12" s="1"/>
  <c r="BJ183" i="12" s="1"/>
  <c r="C102" i="18" s="1"/>
  <c r="BE88" i="12"/>
  <c r="BG88" i="12" s="1"/>
  <c r="BH88" i="12" s="1"/>
  <c r="E65" i="17" s="1"/>
  <c r="BE136" i="12"/>
  <c r="BG136" i="12" s="1"/>
  <c r="BH136" i="12" s="1"/>
  <c r="E113" i="17" s="1"/>
  <c r="BG172" i="12"/>
  <c r="BI172" i="12" s="1"/>
  <c r="BJ172" i="12" s="1"/>
  <c r="C91" i="18" s="1"/>
  <c r="AY127" i="12"/>
  <c r="BA127" i="12" s="1"/>
  <c r="BB127" i="12" s="1"/>
  <c r="C104" i="17" s="1"/>
  <c r="BY152" i="12"/>
  <c r="CA152" i="12" s="1"/>
  <c r="CB152" i="12" s="1"/>
  <c r="E72" i="19" s="1"/>
  <c r="BE113" i="12"/>
  <c r="BF113" i="12" s="1"/>
  <c r="D90" i="17" s="1"/>
  <c r="BS185" i="12"/>
  <c r="BU185" i="12" s="1"/>
  <c r="BV185" i="12" s="1"/>
  <c r="C105" i="19" s="1"/>
  <c r="AY90" i="12"/>
  <c r="BA90" i="12" s="1"/>
  <c r="BB90" i="12" s="1"/>
  <c r="C67" i="17" s="1"/>
  <c r="BY164" i="12"/>
  <c r="CA164" i="12" s="1"/>
  <c r="CB164" i="12" s="1"/>
  <c r="E84" i="19" s="1"/>
  <c r="BG151" i="12"/>
  <c r="BH151" i="12" s="1"/>
  <c r="B70" i="18" s="1"/>
  <c r="BE123" i="12"/>
  <c r="BG123" i="12" s="1"/>
  <c r="BH123" i="12" s="1"/>
  <c r="E100" i="17" s="1"/>
  <c r="BS155" i="12"/>
  <c r="BT155" i="12" s="1"/>
  <c r="B75" i="19" s="1"/>
  <c r="E46" i="13"/>
  <c r="F46" i="13" s="1"/>
  <c r="B46" i="13" s="1"/>
  <c r="BY150" i="12"/>
  <c r="CA150" i="12" s="1"/>
  <c r="CB150" i="12" s="1"/>
  <c r="E70" i="19" s="1"/>
  <c r="BS160" i="12"/>
  <c r="BT160" i="12" s="1"/>
  <c r="B80" i="19" s="1"/>
  <c r="BM177" i="12"/>
  <c r="BN177" i="12" s="1"/>
  <c r="D96" i="18" s="1"/>
  <c r="AY113" i="12"/>
  <c r="BA113" i="12" s="1"/>
  <c r="BB113" i="12" s="1"/>
  <c r="C90" i="17" s="1"/>
  <c r="BG145" i="12"/>
  <c r="BH145" i="12" s="1"/>
  <c r="B64" i="18" s="1"/>
  <c r="BS187" i="12"/>
  <c r="BT187" i="12" s="1"/>
  <c r="B107" i="19" s="1"/>
  <c r="BG193" i="12"/>
  <c r="BI193" i="12" s="1"/>
  <c r="BJ193" i="12" s="1"/>
  <c r="C112" i="18" s="1"/>
  <c r="E41" i="13"/>
  <c r="F41" i="13" s="1"/>
  <c r="B41" i="13" s="1"/>
  <c r="BS188" i="12"/>
  <c r="BU188" i="12" s="1"/>
  <c r="BV188" i="12" s="1"/>
  <c r="C108" i="19" s="1"/>
  <c r="BE111" i="12"/>
  <c r="BF111" i="12" s="1"/>
  <c r="D88" i="17" s="1"/>
  <c r="BK115" i="12"/>
  <c r="BL115" i="12" s="1"/>
  <c r="F92" i="17" s="1"/>
  <c r="AY129" i="12"/>
  <c r="AZ129" i="12" s="1"/>
  <c r="B106" i="17" s="1"/>
  <c r="BS177" i="12"/>
  <c r="BU177" i="12" s="1"/>
  <c r="BV177" i="12" s="1"/>
  <c r="C97" i="19" s="1"/>
  <c r="BG170" i="12"/>
  <c r="BI170" i="12" s="1"/>
  <c r="BJ170" i="12" s="1"/>
  <c r="C89" i="18" s="1"/>
  <c r="BG148" i="12"/>
  <c r="BI148" i="12" s="1"/>
  <c r="BJ148" i="12" s="1"/>
  <c r="C67" i="18" s="1"/>
  <c r="BY146" i="12"/>
  <c r="BZ146" i="12" s="1"/>
  <c r="D66" i="19" s="1"/>
  <c r="AY117" i="12"/>
  <c r="BA117" i="12" s="1"/>
  <c r="BB117" i="12" s="1"/>
  <c r="C94" i="17" s="1"/>
  <c r="BE114" i="12"/>
  <c r="BG114" i="12" s="1"/>
  <c r="BH114" i="12" s="1"/>
  <c r="E91" i="17" s="1"/>
  <c r="AY130" i="12"/>
  <c r="AZ130" i="12" s="1"/>
  <c r="B107" i="17" s="1"/>
  <c r="AY120" i="12"/>
  <c r="AZ120" i="12" s="1"/>
  <c r="B97" i="17" s="1"/>
  <c r="BY193" i="12"/>
  <c r="CA193" i="12" s="1"/>
  <c r="CB193" i="12" s="1"/>
  <c r="E113" i="19" s="1"/>
  <c r="B136" i="12"/>
  <c r="B137" i="12" s="1"/>
  <c r="BS174" i="12"/>
  <c r="BT174" i="12" s="1"/>
  <c r="B94" i="19" s="1"/>
  <c r="BM175" i="12"/>
  <c r="BN175" i="12" s="1"/>
  <c r="D94" i="18" s="1"/>
  <c r="BM171" i="12"/>
  <c r="BO171" i="12" s="1"/>
  <c r="BP171" i="12" s="1"/>
  <c r="E90" i="18" s="1"/>
  <c r="BE130" i="12"/>
  <c r="BF130" i="12" s="1"/>
  <c r="D107" i="17" s="1"/>
  <c r="BE98" i="12"/>
  <c r="BG98" i="12" s="1"/>
  <c r="BH98" i="12" s="1"/>
  <c r="E75" i="17" s="1"/>
  <c r="AY103" i="12"/>
  <c r="BA103" i="12" s="1"/>
  <c r="BB103" i="12" s="1"/>
  <c r="C80" i="17" s="1"/>
  <c r="AY87" i="12"/>
  <c r="BA87" i="12" s="1"/>
  <c r="BB87" i="12" s="1"/>
  <c r="C64" i="17" s="1"/>
  <c r="BE120" i="12"/>
  <c r="BF120" i="12" s="1"/>
  <c r="D97" i="17" s="1"/>
  <c r="BM169" i="12"/>
  <c r="BY170" i="12"/>
  <c r="CA170" i="12" s="1"/>
  <c r="CB170" i="12" s="1"/>
  <c r="E90" i="19" s="1"/>
  <c r="A79" i="12"/>
  <c r="F79" i="12" s="1"/>
  <c r="BG146" i="12"/>
  <c r="BH146" i="12" s="1"/>
  <c r="B65" i="18" s="1"/>
  <c r="BS146" i="12"/>
  <c r="BU146" i="12" s="1"/>
  <c r="BV146" i="12" s="1"/>
  <c r="C66" i="19" s="1"/>
  <c r="BM189" i="12"/>
  <c r="BO189" i="12" s="1"/>
  <c r="BP189" i="12" s="1"/>
  <c r="E108" i="18" s="1"/>
  <c r="A78" i="12"/>
  <c r="F78" i="12" s="1"/>
  <c r="BM145" i="12"/>
  <c r="BO145" i="12" s="1"/>
  <c r="BP145" i="12" s="1"/>
  <c r="AY118" i="12"/>
  <c r="BE115" i="12"/>
  <c r="BF115" i="12" s="1"/>
  <c r="D92" i="17" s="1"/>
  <c r="BM172" i="12"/>
  <c r="BN172" i="12" s="1"/>
  <c r="D91" i="18" s="1"/>
  <c r="BY187" i="12"/>
  <c r="CA187" i="12" s="1"/>
  <c r="CB187" i="12" s="1"/>
  <c r="E107" i="19" s="1"/>
  <c r="BS163" i="12"/>
  <c r="BU163" i="12" s="1"/>
  <c r="BV163" i="12" s="1"/>
  <c r="C83" i="19" s="1"/>
  <c r="BK103" i="12"/>
  <c r="BM103" i="12" s="1"/>
  <c r="BN103" i="12" s="1"/>
  <c r="G80" i="17" s="1"/>
  <c r="BY160" i="12"/>
  <c r="BZ160" i="12" s="1"/>
  <c r="D80" i="19" s="1"/>
  <c r="AY89" i="12"/>
  <c r="AZ89" i="12" s="1"/>
  <c r="B66" i="17" s="1"/>
  <c r="AY137" i="12"/>
  <c r="AZ137" i="12" s="1"/>
  <c r="B114" i="17" s="1"/>
  <c r="BK120" i="12"/>
  <c r="BM120" i="12" s="1"/>
  <c r="BN120" i="12" s="1"/>
  <c r="G97" i="17" s="1"/>
  <c r="AY102" i="12"/>
  <c r="BA102" i="12" s="1"/>
  <c r="BB102" i="12" s="1"/>
  <c r="C79" i="17" s="1"/>
  <c r="AY136" i="12"/>
  <c r="BK105" i="12"/>
  <c r="BL105" i="12" s="1"/>
  <c r="F82" i="17" s="1"/>
  <c r="E23" i="13"/>
  <c r="F23" i="13" s="1"/>
  <c r="B23" i="13" s="1"/>
  <c r="BK88" i="12"/>
  <c r="BL88" i="12" s="1"/>
  <c r="F65" i="17" s="1"/>
  <c r="BS145" i="12"/>
  <c r="BT145" i="12" s="1"/>
  <c r="B65" i="19" s="1"/>
  <c r="BK131" i="12"/>
  <c r="BM131" i="12" s="1"/>
  <c r="BN131" i="12" s="1"/>
  <c r="G108" i="17" s="1"/>
  <c r="BY175" i="12"/>
  <c r="BZ175" i="12" s="1"/>
  <c r="D95" i="19" s="1"/>
  <c r="AY114" i="12"/>
  <c r="BA114" i="12" s="1"/>
  <c r="BB114" i="12" s="1"/>
  <c r="C91" i="17" s="1"/>
  <c r="AY115" i="12"/>
  <c r="BA115" i="12" s="1"/>
  <c r="BB115" i="12" s="1"/>
  <c r="C92" i="17" s="1"/>
  <c r="BS172" i="12"/>
  <c r="BU172" i="12" s="1"/>
  <c r="BV172" i="12" s="1"/>
  <c r="C92" i="19" s="1"/>
  <c r="BG187" i="12"/>
  <c r="BH187" i="12" s="1"/>
  <c r="B106" i="18" s="1"/>
  <c r="AY99" i="12"/>
  <c r="BA99" i="12" s="1"/>
  <c r="BB99" i="12" s="1"/>
  <c r="C76" i="17" s="1"/>
  <c r="BE134" i="12"/>
  <c r="BG134" i="12" s="1"/>
  <c r="BH134" i="12" s="1"/>
  <c r="E111" i="17" s="1"/>
  <c r="BE103" i="12"/>
  <c r="BM160" i="12"/>
  <c r="BO160" i="12" s="1"/>
  <c r="BP160" i="12" s="1"/>
  <c r="E79" i="18" s="1"/>
  <c r="BE89" i="12"/>
  <c r="BF89" i="12" s="1"/>
  <c r="D66" i="17" s="1"/>
  <c r="BM146" i="12"/>
  <c r="BO146" i="12" s="1"/>
  <c r="BP146" i="12" s="1"/>
  <c r="E65" i="18" s="1"/>
  <c r="AY116" i="12"/>
  <c r="BY177" i="12"/>
  <c r="BZ177" i="12" s="1"/>
  <c r="D97" i="19" s="1"/>
  <c r="BE112" i="12"/>
  <c r="BG112" i="12" s="1"/>
  <c r="BH112" i="12" s="1"/>
  <c r="E89" i="17" s="1"/>
  <c r="BK113" i="12"/>
  <c r="BM113" i="12" s="1"/>
  <c r="BN113" i="12" s="1"/>
  <c r="G90" i="17" s="1"/>
  <c r="BM170" i="12"/>
  <c r="BS193" i="12"/>
  <c r="BU193" i="12" s="1"/>
  <c r="BV193" i="12" s="1"/>
  <c r="C113" i="19" s="1"/>
  <c r="BK101" i="12"/>
  <c r="BL101" i="12" s="1"/>
  <c r="F78" i="17" s="1"/>
  <c r="BE107" i="12"/>
  <c r="BG107" i="12" s="1"/>
  <c r="BH107" i="12" s="1"/>
  <c r="E84" i="17" s="1"/>
  <c r="BE95" i="12"/>
  <c r="BG95" i="12" s="1"/>
  <c r="BH95" i="12" s="1"/>
  <c r="E72" i="17" s="1"/>
  <c r="AY109" i="12"/>
  <c r="AZ109" i="12" s="1"/>
  <c r="B86" i="17" s="1"/>
  <c r="BS151" i="12"/>
  <c r="BT151" i="12" s="1"/>
  <c r="B71" i="19" s="1"/>
  <c r="BM192" i="12"/>
  <c r="BO192" i="12" s="1"/>
  <c r="BP192" i="12" s="1"/>
  <c r="E111" i="18" s="1"/>
  <c r="BY180" i="12"/>
  <c r="CA180" i="12" s="1"/>
  <c r="CB180" i="12" s="1"/>
  <c r="E100" i="19" s="1"/>
  <c r="BM185" i="12"/>
  <c r="BO185" i="12" s="1"/>
  <c r="BP185" i="12" s="1"/>
  <c r="E104" i="18" s="1"/>
  <c r="B79" i="12"/>
  <c r="BS149" i="12"/>
  <c r="BT149" i="12" s="1"/>
  <c r="B69" i="19" s="1"/>
  <c r="BE101" i="12"/>
  <c r="BF101" i="12" s="1"/>
  <c r="D78" i="17" s="1"/>
  <c r="BM164" i="12"/>
  <c r="BO164" i="12" s="1"/>
  <c r="BP164" i="12" s="1"/>
  <c r="E83" i="18" s="1"/>
  <c r="BS164" i="12"/>
  <c r="BU164" i="12" s="1"/>
  <c r="BV164" i="12" s="1"/>
  <c r="C84" i="19" s="1"/>
  <c r="BY156" i="12"/>
  <c r="BZ156" i="12" s="1"/>
  <c r="D76" i="19" s="1"/>
  <c r="BE106" i="12"/>
  <c r="BF106" i="12" s="1"/>
  <c r="D83" i="17" s="1"/>
  <c r="BE91" i="12"/>
  <c r="BG91" i="12" s="1"/>
  <c r="BH91" i="12" s="1"/>
  <c r="E68" i="17" s="1"/>
  <c r="BS152" i="12"/>
  <c r="BU152" i="12" s="1"/>
  <c r="BV152" i="12" s="1"/>
  <c r="C72" i="19" s="1"/>
  <c r="BK109" i="12"/>
  <c r="BL109" i="12" s="1"/>
  <c r="F86" i="17" s="1"/>
  <c r="BG194" i="12"/>
  <c r="BI194" i="12" s="1"/>
  <c r="BJ194" i="12" s="1"/>
  <c r="C113" i="18" s="1"/>
  <c r="BE121" i="12"/>
  <c r="BF121" i="12" s="1"/>
  <c r="D98" i="17" s="1"/>
  <c r="BS169" i="12"/>
  <c r="BT169" i="12" s="1"/>
  <c r="B89" i="19" s="1"/>
  <c r="BM159" i="12"/>
  <c r="BO159" i="12" s="1"/>
  <c r="BP159" i="12" s="1"/>
  <c r="E78" i="18" s="1"/>
  <c r="BY192" i="12"/>
  <c r="BZ192" i="12" s="1"/>
  <c r="D112" i="19" s="1"/>
  <c r="BS180" i="12"/>
  <c r="BU180" i="12" s="1"/>
  <c r="BV180" i="12" s="1"/>
  <c r="C100" i="19" s="1"/>
  <c r="BY162" i="12"/>
  <c r="CA162" i="12" s="1"/>
  <c r="CB162" i="12" s="1"/>
  <c r="E82" i="19" s="1"/>
  <c r="AY88" i="12"/>
  <c r="AZ88" i="12" s="1"/>
  <c r="B65" i="17" s="1"/>
  <c r="BY145" i="12"/>
  <c r="BZ145" i="12" s="1"/>
  <c r="D65" i="19" s="1"/>
  <c r="BY149" i="12"/>
  <c r="CA149" i="12" s="1"/>
  <c r="CB149" i="12" s="1"/>
  <c r="E69" i="19" s="1"/>
  <c r="AY131" i="12"/>
  <c r="AZ131" i="12" s="1"/>
  <c r="B108" i="17" s="1"/>
  <c r="BK118" i="12"/>
  <c r="BL118" i="12" s="1"/>
  <c r="F95" i="17" s="1"/>
  <c r="BG171" i="12"/>
  <c r="BG158" i="12"/>
  <c r="BH158" i="12" s="1"/>
  <c r="B77" i="18" s="1"/>
  <c r="BY172" i="12"/>
  <c r="CA172" i="12" s="1"/>
  <c r="CB172" i="12" s="1"/>
  <c r="E92" i="19" s="1"/>
  <c r="BK130" i="12"/>
  <c r="BL130" i="12" s="1"/>
  <c r="F107" i="17" s="1"/>
  <c r="BM187" i="12"/>
  <c r="AY107" i="12"/>
  <c r="AZ107" i="12" s="1"/>
  <c r="B84" i="17" s="1"/>
  <c r="BG164" i="12"/>
  <c r="BI164" i="12" s="1"/>
  <c r="BJ164" i="12" s="1"/>
  <c r="C83" i="18" s="1"/>
  <c r="BS156" i="12"/>
  <c r="BT156" i="12" s="1"/>
  <c r="B76" i="19" s="1"/>
  <c r="AY106" i="12"/>
  <c r="BA106" i="12" s="1"/>
  <c r="BB106" i="12" s="1"/>
  <c r="C83" i="17" s="1"/>
  <c r="BK91" i="12"/>
  <c r="BL91" i="12" s="1"/>
  <c r="F68" i="17" s="1"/>
  <c r="BG152" i="12"/>
  <c r="BH152" i="12" s="1"/>
  <c r="B71" i="18" s="1"/>
  <c r="BM166" i="12"/>
  <c r="BO166" i="12" s="1"/>
  <c r="BP166" i="12" s="1"/>
  <c r="E85" i="18" s="1"/>
  <c r="BG160" i="12"/>
  <c r="BG177" i="12"/>
  <c r="BH177" i="12" s="1"/>
  <c r="B96" i="18" s="1"/>
  <c r="BK94" i="12"/>
  <c r="BM94" i="12" s="1"/>
  <c r="BN94" i="12" s="1"/>
  <c r="G71" i="17" s="1"/>
  <c r="BG178" i="12"/>
  <c r="BI178" i="12" s="1"/>
  <c r="BJ178" i="12" s="1"/>
  <c r="C97" i="18" s="1"/>
  <c r="BE132" i="12"/>
  <c r="BG132" i="12" s="1"/>
  <c r="BH132" i="12" s="1"/>
  <c r="E109" i="17" s="1"/>
  <c r="BY159" i="12"/>
  <c r="BZ159" i="12" s="1"/>
  <c r="D79" i="19" s="1"/>
  <c r="BE135" i="12"/>
  <c r="BG135" i="12" s="1"/>
  <c r="BH135" i="12" s="1"/>
  <c r="E112" i="17" s="1"/>
  <c r="AY123" i="12"/>
  <c r="AZ123" i="12" s="1"/>
  <c r="B100" i="17" s="1"/>
  <c r="BK128" i="12"/>
  <c r="BK136" i="12"/>
  <c r="BL136" i="12" s="1"/>
  <c r="F113" i="17" s="1"/>
  <c r="BM193" i="12"/>
  <c r="BO193" i="12" s="1"/>
  <c r="BP193" i="12" s="1"/>
  <c r="E112" i="18" s="1"/>
  <c r="BM162" i="12"/>
  <c r="BO162" i="12" s="1"/>
  <c r="BP162" i="12" s="1"/>
  <c r="E81" i="18" s="1"/>
  <c r="E25" i="13"/>
  <c r="F25" i="13" s="1"/>
  <c r="B25" i="13" s="1"/>
  <c r="E57" i="13"/>
  <c r="F57" i="13" s="1"/>
  <c r="B57" i="13" s="1"/>
  <c r="E49" i="13"/>
  <c r="F49" i="13" s="1"/>
  <c r="B49" i="13" s="1"/>
  <c r="BM181" i="12"/>
  <c r="BO181" i="12" s="1"/>
  <c r="BP181" i="12" s="1"/>
  <c r="E100" i="18" s="1"/>
  <c r="BG150" i="12"/>
  <c r="BH150" i="12" s="1"/>
  <c r="B69" i="18" s="1"/>
  <c r="BG147" i="12"/>
  <c r="BK127" i="12"/>
  <c r="BK111" i="12"/>
  <c r="BM111" i="12" s="1"/>
  <c r="BN111" i="12" s="1"/>
  <c r="G88" i="17" s="1"/>
  <c r="BE122" i="12"/>
  <c r="BF122" i="12" s="1"/>
  <c r="D99" i="17" s="1"/>
  <c r="BK134" i="12"/>
  <c r="BM134" i="12" s="1"/>
  <c r="BN134" i="12" s="1"/>
  <c r="G111" i="17" s="1"/>
  <c r="BM186" i="12"/>
  <c r="BO186" i="12" s="1"/>
  <c r="BP186" i="12" s="1"/>
  <c r="E105" i="18" s="1"/>
  <c r="BS183" i="12"/>
  <c r="BT183" i="12" s="1"/>
  <c r="B103" i="19" s="1"/>
  <c r="BG144" i="12"/>
  <c r="BI144" i="12" s="1"/>
  <c r="BJ144" i="12" s="1"/>
  <c r="C63" i="18" s="1"/>
  <c r="BS173" i="12"/>
  <c r="BT173" i="12" s="1"/>
  <c r="B93" i="19" s="1"/>
  <c r="AY133" i="12"/>
  <c r="BA133" i="12" s="1"/>
  <c r="BB133" i="12" s="1"/>
  <c r="C110" i="17" s="1"/>
  <c r="E45" i="13"/>
  <c r="F45" i="13" s="1"/>
  <c r="B45" i="13" s="1"/>
  <c r="E38" i="13"/>
  <c r="F38" i="13" s="1"/>
  <c r="B38" i="13" s="1"/>
  <c r="E34" i="13"/>
  <c r="F34" i="13" s="1"/>
  <c r="B34" i="13" s="1"/>
  <c r="BE124" i="12"/>
  <c r="BF124" i="12" s="1"/>
  <c r="D101" i="17" s="1"/>
  <c r="BK93" i="12"/>
  <c r="BM93" i="12" s="1"/>
  <c r="BN93" i="12" s="1"/>
  <c r="G70" i="17" s="1"/>
  <c r="BE97" i="12"/>
  <c r="BG184" i="12"/>
  <c r="BI184" i="12" s="1"/>
  <c r="BJ184" i="12" s="1"/>
  <c r="C103" i="18" s="1"/>
  <c r="BS158" i="12"/>
  <c r="BT158" i="12" s="1"/>
  <c r="B78" i="19" s="1"/>
  <c r="BM158" i="12"/>
  <c r="BM168" i="12"/>
  <c r="BN168" i="12" s="1"/>
  <c r="D87" i="18" s="1"/>
  <c r="BG179" i="12"/>
  <c r="BH179" i="12" s="1"/>
  <c r="B98" i="18" s="1"/>
  <c r="BG191" i="12"/>
  <c r="BH191" i="12" s="1"/>
  <c r="B110" i="18" s="1"/>
  <c r="AY95" i="12"/>
  <c r="BA95" i="12" s="1"/>
  <c r="BB95" i="12" s="1"/>
  <c r="C72" i="17" s="1"/>
  <c r="BE109" i="12"/>
  <c r="BF109" i="12" s="1"/>
  <c r="D86" i="17" s="1"/>
  <c r="BY166" i="12"/>
  <c r="CA166" i="12" s="1"/>
  <c r="CB166" i="12" s="1"/>
  <c r="E86" i="19" s="1"/>
  <c r="BY186" i="12"/>
  <c r="BZ186" i="12" s="1"/>
  <c r="D106" i="19" s="1"/>
  <c r="BY183" i="12"/>
  <c r="BG173" i="12"/>
  <c r="BH173" i="12" s="1"/>
  <c r="B92" i="18" s="1"/>
  <c r="BY151" i="12"/>
  <c r="BZ151" i="12" s="1"/>
  <c r="D71" i="19" s="1"/>
  <c r="BE94" i="12"/>
  <c r="BF94" i="12" s="1"/>
  <c r="D71" i="17" s="1"/>
  <c r="BY190" i="12"/>
  <c r="BZ190" i="12" s="1"/>
  <c r="D110" i="19" s="1"/>
  <c r="BK135" i="12"/>
  <c r="BL135" i="12" s="1"/>
  <c r="F112" i="17" s="1"/>
  <c r="BS192" i="12"/>
  <c r="BU192" i="12" s="1"/>
  <c r="BV192" i="12" s="1"/>
  <c r="C112" i="19" s="1"/>
  <c r="BG180" i="12"/>
  <c r="BH180" i="12" s="1"/>
  <c r="B99" i="18" s="1"/>
  <c r="AY128" i="12"/>
  <c r="BA128" i="12" s="1"/>
  <c r="BB128" i="12" s="1"/>
  <c r="C105" i="17" s="1"/>
  <c r="BY185" i="12"/>
  <c r="CA185" i="12" s="1"/>
  <c r="CB185" i="12" s="1"/>
  <c r="E105" i="19" s="1"/>
  <c r="E62" i="13"/>
  <c r="F62" i="13" s="1"/>
  <c r="B62" i="13" s="1"/>
  <c r="E39" i="13"/>
  <c r="F39" i="13" s="1"/>
  <c r="B39" i="13" s="1"/>
  <c r="E43" i="13"/>
  <c r="F43" i="13" s="1"/>
  <c r="B43" i="13" s="1"/>
  <c r="E50" i="13"/>
  <c r="F50" i="13" s="1"/>
  <c r="B50" i="13" s="1"/>
  <c r="A80" i="12"/>
  <c r="F80" i="12" s="1"/>
  <c r="BG181" i="12"/>
  <c r="BI181" i="12" s="1"/>
  <c r="BJ181" i="12" s="1"/>
  <c r="C100" i="18" s="1"/>
  <c r="BS150" i="12"/>
  <c r="BT150" i="12" s="1"/>
  <c r="B70" i="19" s="1"/>
  <c r="BY147" i="12"/>
  <c r="BY154" i="12"/>
  <c r="CA154" i="12" s="1"/>
  <c r="CB154" i="12" s="1"/>
  <c r="E74" i="19" s="1"/>
  <c r="BS184" i="12"/>
  <c r="BT184" i="12" s="1"/>
  <c r="B104" i="19" s="1"/>
  <c r="AY101" i="12"/>
  <c r="BA101" i="12" s="1"/>
  <c r="BB101" i="12" s="1"/>
  <c r="C78" i="17" s="1"/>
  <c r="BY158" i="12"/>
  <c r="BM156" i="12"/>
  <c r="BO156" i="12" s="1"/>
  <c r="BP156" i="12" s="1"/>
  <c r="E75" i="18" s="1"/>
  <c r="BY163" i="12"/>
  <c r="BZ163" i="12" s="1"/>
  <c r="D83" i="19" s="1"/>
  <c r="BM179" i="12"/>
  <c r="BN179" i="12" s="1"/>
  <c r="D98" i="18" s="1"/>
  <c r="BY191" i="12"/>
  <c r="BZ191" i="12" s="1"/>
  <c r="D111" i="19" s="1"/>
  <c r="BK95" i="12"/>
  <c r="BM95" i="12" s="1"/>
  <c r="BN95" i="12" s="1"/>
  <c r="G72" i="17" s="1"/>
  <c r="BM152" i="12"/>
  <c r="BN152" i="12" s="1"/>
  <c r="D71" i="18" s="1"/>
  <c r="BG166" i="12"/>
  <c r="BI166" i="12" s="1"/>
  <c r="BJ166" i="12" s="1"/>
  <c r="C85" i="18" s="1"/>
  <c r="BS166" i="12"/>
  <c r="BT166" i="12" s="1"/>
  <c r="B86" i="19" s="1"/>
  <c r="BE126" i="12"/>
  <c r="BF126" i="12" s="1"/>
  <c r="D103" i="17" s="1"/>
  <c r="BM144" i="12"/>
  <c r="BN144" i="12" s="1"/>
  <c r="D63" i="18" s="1"/>
  <c r="BS194" i="12"/>
  <c r="BU194" i="12" s="1"/>
  <c r="BV194" i="12" s="1"/>
  <c r="C114" i="19" s="1"/>
  <c r="AY94" i="12"/>
  <c r="AZ94" i="12" s="1"/>
  <c r="B71" i="17" s="1"/>
  <c r="BM151" i="12"/>
  <c r="BO151" i="12" s="1"/>
  <c r="BP151" i="12" s="1"/>
  <c r="E70" i="18" s="1"/>
  <c r="BG190" i="12"/>
  <c r="BH190" i="12" s="1"/>
  <c r="B109" i="18" s="1"/>
  <c r="AY112" i="12"/>
  <c r="AZ112" i="12" s="1"/>
  <c r="B89" i="17" s="1"/>
  <c r="BS189" i="12"/>
  <c r="BT189" i="12" s="1"/>
  <c r="B109" i="19" s="1"/>
  <c r="BS159" i="12"/>
  <c r="BU159" i="12" s="1"/>
  <c r="BV159" i="12" s="1"/>
  <c r="C79" i="19" s="1"/>
  <c r="BG192" i="12"/>
  <c r="BH192" i="12" s="1"/>
  <c r="B111" i="18" s="1"/>
  <c r="BK123" i="12"/>
  <c r="BM180" i="12"/>
  <c r="BO180" i="12" s="1"/>
  <c r="BP180" i="12" s="1"/>
  <c r="E99" i="18" s="1"/>
  <c r="BE128" i="12"/>
  <c r="BF128" i="12" s="1"/>
  <c r="D105" i="17" s="1"/>
  <c r="BG185" i="12"/>
  <c r="BH185" i="12" s="1"/>
  <c r="B104" i="18" s="1"/>
  <c r="BS162" i="12"/>
  <c r="BU162" i="12" s="1"/>
  <c r="BV162" i="12" s="1"/>
  <c r="C82" i="19" s="1"/>
  <c r="D42" i="2"/>
  <c r="E29" i="13"/>
  <c r="F29" i="13" s="1"/>
  <c r="B29" i="13" s="1"/>
  <c r="E68" i="13"/>
  <c r="F68" i="13" s="1"/>
  <c r="B68" i="13" s="1"/>
  <c r="E54" i="13"/>
  <c r="F54" i="13" s="1"/>
  <c r="B54" i="13" s="1"/>
  <c r="E22" i="13"/>
  <c r="F22" i="13" s="1"/>
  <c r="B22" i="13" s="1"/>
  <c r="E32" i="13"/>
  <c r="F32" i="13" s="1"/>
  <c r="B32" i="13" s="1"/>
  <c r="E53" i="13"/>
  <c r="F53" i="13" s="1"/>
  <c r="B53" i="13" s="1"/>
  <c r="C141" i="13"/>
  <c r="B78" i="12"/>
  <c r="E142" i="12" s="1"/>
  <c r="E143" i="12" s="1"/>
  <c r="B80" i="12"/>
  <c r="B81" i="12" s="1"/>
  <c r="B82" i="12" s="1"/>
  <c r="B83" i="12" s="1"/>
  <c r="AY124" i="12"/>
  <c r="AZ124" i="12" s="1"/>
  <c r="B101" i="17" s="1"/>
  <c r="BS181" i="12"/>
  <c r="AY93" i="12"/>
  <c r="AZ93" i="12" s="1"/>
  <c r="B70" i="17" s="1"/>
  <c r="BG157" i="12"/>
  <c r="BH157" i="12" s="1"/>
  <c r="B76" i="18" s="1"/>
  <c r="BE90" i="12"/>
  <c r="BG90" i="12" s="1"/>
  <c r="BH90" i="12" s="1"/>
  <c r="E67" i="17" s="1"/>
  <c r="BM147" i="12"/>
  <c r="BN147" i="12" s="1"/>
  <c r="D66" i="18" s="1"/>
  <c r="BY184" i="12"/>
  <c r="BZ184" i="12" s="1"/>
  <c r="D104" i="19" s="1"/>
  <c r="BY168" i="12"/>
  <c r="BZ168" i="12" s="1"/>
  <c r="D88" i="19" s="1"/>
  <c r="BG168" i="12"/>
  <c r="BH168" i="12" s="1"/>
  <c r="B87" i="18" s="1"/>
  <c r="BE99" i="12"/>
  <c r="BG99" i="12" s="1"/>
  <c r="BH99" i="12" s="1"/>
  <c r="E76" i="17" s="1"/>
  <c r="BG156" i="12"/>
  <c r="BH156" i="12" s="1"/>
  <c r="B75" i="18" s="1"/>
  <c r="BY167" i="12"/>
  <c r="CA167" i="12" s="1"/>
  <c r="CB167" i="12" s="1"/>
  <c r="E87" i="19" s="1"/>
  <c r="BK106" i="12"/>
  <c r="BL106" i="12" s="1"/>
  <c r="F83" i="17" s="1"/>
  <c r="AY122" i="12"/>
  <c r="BA122" i="12" s="1"/>
  <c r="BB122" i="12" s="1"/>
  <c r="C99" i="17" s="1"/>
  <c r="BS179" i="12"/>
  <c r="BT179" i="12" s="1"/>
  <c r="B99" i="19" s="1"/>
  <c r="AY134" i="12"/>
  <c r="AZ134" i="12" s="1"/>
  <c r="B111" i="17" s="1"/>
  <c r="BM191" i="12"/>
  <c r="BN191" i="12" s="1"/>
  <c r="D110" i="18" s="1"/>
  <c r="BS148" i="12"/>
  <c r="BU148" i="12" s="1"/>
  <c r="BV148" i="12" s="1"/>
  <c r="C68" i="19" s="1"/>
  <c r="BY148" i="12"/>
  <c r="BK129" i="12"/>
  <c r="BL129" i="12" s="1"/>
  <c r="F106" i="17" s="1"/>
  <c r="BS186" i="12"/>
  <c r="BU186" i="12" s="1"/>
  <c r="BV186" i="12" s="1"/>
  <c r="C106" i="19" s="1"/>
  <c r="AY126" i="12"/>
  <c r="AZ126" i="12" s="1"/>
  <c r="B103" i="17" s="1"/>
  <c r="BK87" i="12"/>
  <c r="BL87" i="12" s="1"/>
  <c r="F64" i="17" s="1"/>
  <c r="BY144" i="12"/>
  <c r="BE137" i="12"/>
  <c r="BF137" i="12" s="1"/>
  <c r="D114" i="17" s="1"/>
  <c r="BY194" i="12"/>
  <c r="BM173" i="12"/>
  <c r="BO173" i="12" s="1"/>
  <c r="BP173" i="12" s="1"/>
  <c r="E92" i="18" s="1"/>
  <c r="BK133" i="12"/>
  <c r="BL133" i="12" s="1"/>
  <c r="F110" i="17" s="1"/>
  <c r="BM190" i="12"/>
  <c r="BN190" i="12" s="1"/>
  <c r="D109" i="18" s="1"/>
  <c r="BG169" i="12"/>
  <c r="BI169" i="12" s="1"/>
  <c r="BJ169" i="12" s="1"/>
  <c r="C88" i="18" s="1"/>
  <c r="BK132" i="12"/>
  <c r="BL132" i="12" s="1"/>
  <c r="F109" i="17" s="1"/>
  <c r="BG189" i="12"/>
  <c r="BI189" i="12" s="1"/>
  <c r="BJ189" i="12" s="1"/>
  <c r="C108" i="18" s="1"/>
  <c r="BK102" i="12"/>
  <c r="BG159" i="12"/>
  <c r="BH159" i="12" s="1"/>
  <c r="B78" i="18" s="1"/>
  <c r="AY105" i="12"/>
  <c r="BA105" i="12" s="1"/>
  <c r="BB105" i="12" s="1"/>
  <c r="C82" i="17" s="1"/>
  <c r="AG200" i="1"/>
  <c r="E65" i="13"/>
  <c r="F65" i="13" s="1"/>
  <c r="B65" i="13" s="1"/>
  <c r="E47" i="13"/>
  <c r="F47" i="13" s="1"/>
  <c r="B47" i="13" s="1"/>
  <c r="E51" i="13"/>
  <c r="F51" i="13" s="1"/>
  <c r="B51" i="13" s="1"/>
  <c r="E55" i="13"/>
  <c r="F55" i="13" s="1"/>
  <c r="B55" i="13" s="1"/>
  <c r="E30" i="13"/>
  <c r="F30" i="13" s="1"/>
  <c r="B30" i="13" s="1"/>
  <c r="E69" i="13"/>
  <c r="F69" i="13" s="1"/>
  <c r="B69" i="13" s="1"/>
  <c r="E59" i="13"/>
  <c r="F59" i="13" s="1"/>
  <c r="B59" i="13" s="1"/>
  <c r="B150" i="12"/>
  <c r="B155" i="12"/>
  <c r="BK124" i="12"/>
  <c r="BM124" i="12" s="1"/>
  <c r="BN124" i="12" s="1"/>
  <c r="G101" i="17" s="1"/>
  <c r="BY181" i="12"/>
  <c r="BZ181" i="12" s="1"/>
  <c r="D101" i="19" s="1"/>
  <c r="BE93" i="12"/>
  <c r="BG93" i="12" s="1"/>
  <c r="BH93" i="12" s="1"/>
  <c r="E70" i="17" s="1"/>
  <c r="BM150" i="12"/>
  <c r="BO150" i="12" s="1"/>
  <c r="BP150" i="12" s="1"/>
  <c r="E69" i="18" s="1"/>
  <c r="BK90" i="12"/>
  <c r="BL90" i="12" s="1"/>
  <c r="F67" i="17" s="1"/>
  <c r="BS147" i="12"/>
  <c r="BU147" i="12" s="1"/>
  <c r="BV147" i="12" s="1"/>
  <c r="C67" i="19" s="1"/>
  <c r="BE127" i="12"/>
  <c r="BM184" i="12"/>
  <c r="BN184" i="12" s="1"/>
  <c r="D103" i="18" s="1"/>
  <c r="AY111" i="12"/>
  <c r="BA111" i="12" s="1"/>
  <c r="BB111" i="12" s="1"/>
  <c r="C88" i="17" s="1"/>
  <c r="BS168" i="12"/>
  <c r="BU168" i="12" s="1"/>
  <c r="BV168" i="12" s="1"/>
  <c r="C88" i="19" s="1"/>
  <c r="BK99" i="12"/>
  <c r="BL99" i="12" s="1"/>
  <c r="F76" i="17" s="1"/>
  <c r="BG163" i="12"/>
  <c r="BH163" i="12" s="1"/>
  <c r="B82" i="18" s="1"/>
  <c r="BM163" i="12"/>
  <c r="BO163" i="12" s="1"/>
  <c r="BP163" i="12" s="1"/>
  <c r="E82" i="18" s="1"/>
  <c r="BK122" i="12"/>
  <c r="BM122" i="12" s="1"/>
  <c r="BN122" i="12" s="1"/>
  <c r="G99" i="17" s="1"/>
  <c r="BY179" i="12"/>
  <c r="CA179" i="12" s="1"/>
  <c r="CB179" i="12" s="1"/>
  <c r="E99" i="19" s="1"/>
  <c r="BS191" i="12"/>
  <c r="BT191" i="12" s="1"/>
  <c r="B111" i="19" s="1"/>
  <c r="AY91" i="12"/>
  <c r="AZ91" i="12" s="1"/>
  <c r="B68" i="17" s="1"/>
  <c r="BM148" i="12"/>
  <c r="BN148" i="12" s="1"/>
  <c r="D67" i="18" s="1"/>
  <c r="BE129" i="12"/>
  <c r="BG129" i="12" s="1"/>
  <c r="BH129" i="12" s="1"/>
  <c r="E106" i="17" s="1"/>
  <c r="BG186" i="12"/>
  <c r="BI186" i="12" s="1"/>
  <c r="BJ186" i="12" s="1"/>
  <c r="C105" i="18" s="1"/>
  <c r="BK126" i="12"/>
  <c r="BM126" i="12" s="1"/>
  <c r="BN126" i="12" s="1"/>
  <c r="G103" i="17" s="1"/>
  <c r="BM183" i="12"/>
  <c r="BN183" i="12" s="1"/>
  <c r="D102" i="18" s="1"/>
  <c r="BE87" i="12"/>
  <c r="BF87" i="12" s="1"/>
  <c r="D64" i="17" s="1"/>
  <c r="BS144" i="12"/>
  <c r="BU144" i="12" s="1"/>
  <c r="BV144" i="12" s="1"/>
  <c r="C64" i="19" s="1"/>
  <c r="BK137" i="12"/>
  <c r="BL137" i="12" s="1"/>
  <c r="F114" i="17" s="1"/>
  <c r="BK116" i="12"/>
  <c r="BL116" i="12" s="1"/>
  <c r="F93" i="17" s="1"/>
  <c r="BE133" i="12"/>
  <c r="BS190" i="12"/>
  <c r="BT190" i="12" s="1"/>
  <c r="B110" i="19" s="1"/>
  <c r="BK112" i="12"/>
  <c r="BY169" i="12"/>
  <c r="BZ169" i="12" s="1"/>
  <c r="D89" i="19" s="1"/>
  <c r="AY132" i="12"/>
  <c r="AZ132" i="12" s="1"/>
  <c r="B109" i="17" s="1"/>
  <c r="BY189" i="12"/>
  <c r="CA189" i="12" s="1"/>
  <c r="CB189" i="12" s="1"/>
  <c r="E109" i="19" s="1"/>
  <c r="BE102" i="12"/>
  <c r="BG102" i="12" s="1"/>
  <c r="BH102" i="12" s="1"/>
  <c r="E79" i="17" s="1"/>
  <c r="BE105" i="12"/>
  <c r="BF105" i="12" s="1"/>
  <c r="D82" i="17" s="1"/>
  <c r="BG162" i="12"/>
  <c r="BH162" i="12" s="1"/>
  <c r="B81" i="18" s="1"/>
  <c r="BE117" i="12"/>
  <c r="BF117" i="12" s="1"/>
  <c r="D94" i="17" s="1"/>
  <c r="BM157" i="12"/>
  <c r="BE131" i="12"/>
  <c r="BG131" i="12" s="1"/>
  <c r="BH131" i="12" s="1"/>
  <c r="E108" i="17" s="1"/>
  <c r="BG188" i="12"/>
  <c r="BI188" i="12" s="1"/>
  <c r="BJ188" i="12" s="1"/>
  <c r="C107" i="18" s="1"/>
  <c r="BY176" i="12"/>
  <c r="CA176" i="12" s="1"/>
  <c r="CB176" i="12" s="1"/>
  <c r="E96" i="19" s="1"/>
  <c r="BG175" i="12"/>
  <c r="BI175" i="12" s="1"/>
  <c r="BJ175" i="12" s="1"/>
  <c r="C94" i="18" s="1"/>
  <c r="BK114" i="12"/>
  <c r="BM114" i="12" s="1"/>
  <c r="BN114" i="12" s="1"/>
  <c r="G91" i="17" s="1"/>
  <c r="BY171" i="12"/>
  <c r="BK98" i="12"/>
  <c r="BM98" i="12" s="1"/>
  <c r="BN98" i="12" s="1"/>
  <c r="G75" i="17" s="1"/>
  <c r="BM167" i="12"/>
  <c r="BE119" i="12"/>
  <c r="BF119" i="12" s="1"/>
  <c r="D96" i="17" s="1"/>
  <c r="BG167" i="12"/>
  <c r="BH167" i="12" s="1"/>
  <c r="B86" i="18" s="1"/>
  <c r="BM174" i="12"/>
  <c r="BO174" i="12" s="1"/>
  <c r="BP174" i="12" s="1"/>
  <c r="E93" i="18" s="1"/>
  <c r="BE100" i="12"/>
  <c r="BF100" i="12" s="1"/>
  <c r="D77" i="17" s="1"/>
  <c r="BM188" i="12"/>
  <c r="BO188" i="12" s="1"/>
  <c r="BP188" i="12" s="1"/>
  <c r="E107" i="18" s="1"/>
  <c r="BY188" i="12"/>
  <c r="BZ188" i="12" s="1"/>
  <c r="D108" i="19" s="1"/>
  <c r="BM176" i="12"/>
  <c r="BN176" i="12" s="1"/>
  <c r="D95" i="18" s="1"/>
  <c r="BE118" i="12"/>
  <c r="BF118" i="12" s="1"/>
  <c r="D95" i="17" s="1"/>
  <c r="BS175" i="12"/>
  <c r="BT175" i="12" s="1"/>
  <c r="B95" i="19" s="1"/>
  <c r="BS171" i="12"/>
  <c r="BU171" i="12" s="1"/>
  <c r="BV171" i="12" s="1"/>
  <c r="C91" i="19" s="1"/>
  <c r="BK110" i="12"/>
  <c r="BM110" i="12" s="1"/>
  <c r="BN110" i="12" s="1"/>
  <c r="G87" i="17" s="1"/>
  <c r="BK92" i="12"/>
  <c r="BM92" i="12" s="1"/>
  <c r="BN92" i="12" s="1"/>
  <c r="G69" i="17" s="1"/>
  <c r="BK108" i="12"/>
  <c r="BM108" i="12" s="1"/>
  <c r="BN108" i="12" s="1"/>
  <c r="G85" i="17" s="1"/>
  <c r="AY100" i="12"/>
  <c r="BY157" i="12"/>
  <c r="CA157" i="12" s="1"/>
  <c r="CB157" i="12" s="1"/>
  <c r="E77" i="19" s="1"/>
  <c r="BS154" i="12"/>
  <c r="BK119" i="12"/>
  <c r="BL119" i="12" s="1"/>
  <c r="F96" i="17" s="1"/>
  <c r="BG176" i="12"/>
  <c r="BI176" i="12" s="1"/>
  <c r="BJ176" i="12" s="1"/>
  <c r="C95" i="18" s="1"/>
  <c r="BK96" i="12"/>
  <c r="BM96" i="12" s="1"/>
  <c r="BN96" i="12" s="1"/>
  <c r="G73" i="17" s="1"/>
  <c r="BE110" i="12"/>
  <c r="BF110" i="12" s="1"/>
  <c r="D87" i="17" s="1"/>
  <c r="BK121" i="12"/>
  <c r="BL121" i="12" s="1"/>
  <c r="F98" i="17" s="1"/>
  <c r="BY178" i="12"/>
  <c r="CA178" i="12" s="1"/>
  <c r="CB178" i="12" s="1"/>
  <c r="E98" i="19" s="1"/>
  <c r="BE92" i="12"/>
  <c r="BG92" i="12" s="1"/>
  <c r="BH92" i="12" s="1"/>
  <c r="E69" i="17" s="1"/>
  <c r="BG149" i="12"/>
  <c r="BH149" i="12" s="1"/>
  <c r="B68" i="18" s="1"/>
  <c r="BK97" i="12"/>
  <c r="BM97" i="12" s="1"/>
  <c r="BN97" i="12" s="1"/>
  <c r="G74" i="17" s="1"/>
  <c r="BM154" i="12"/>
  <c r="BN154" i="12" s="1"/>
  <c r="D73" i="18" s="1"/>
  <c r="BY161" i="12"/>
  <c r="BZ161" i="12" s="1"/>
  <c r="D81" i="19" s="1"/>
  <c r="AY121" i="12"/>
  <c r="AZ121" i="12" s="1"/>
  <c r="B98" i="17" s="1"/>
  <c r="BS178" i="12"/>
  <c r="BT178" i="12" s="1"/>
  <c r="B98" i="19" s="1"/>
  <c r="AY92" i="12"/>
  <c r="AZ92" i="12" s="1"/>
  <c r="B69" i="17" s="1"/>
  <c r="BM149" i="12"/>
  <c r="BN149" i="12" s="1"/>
  <c r="D68" i="18" s="1"/>
  <c r="BK100" i="12"/>
  <c r="BM100" i="12" s="1"/>
  <c r="BN100" i="12" s="1"/>
  <c r="G77" i="17" s="1"/>
  <c r="BS157" i="12"/>
  <c r="BT157" i="12" s="1"/>
  <c r="B77" i="19" s="1"/>
  <c r="AY97" i="12"/>
  <c r="BG154" i="12"/>
  <c r="BH154" i="12" s="1"/>
  <c r="B73" i="18" s="1"/>
  <c r="AY119" i="12"/>
  <c r="AZ119" i="12" s="1"/>
  <c r="B96" i="17" s="1"/>
  <c r="BS176" i="12"/>
  <c r="BT176" i="12" s="1"/>
  <c r="B96" i="19" s="1"/>
  <c r="AY104" i="12"/>
  <c r="BA104" i="12" s="1"/>
  <c r="BB104" i="12" s="1"/>
  <c r="C81" i="17" s="1"/>
  <c r="BY153" i="12"/>
  <c r="BZ153" i="12" s="1"/>
  <c r="D73" i="19" s="1"/>
  <c r="AY110" i="12"/>
  <c r="BA110" i="12" s="1"/>
  <c r="BB110" i="12" s="1"/>
  <c r="C87" i="17" s="1"/>
  <c r="BS167" i="12"/>
  <c r="BT167" i="12" s="1"/>
  <c r="B87" i="19" s="1"/>
  <c r="BM178" i="12"/>
  <c r="BO178" i="12" s="1"/>
  <c r="BP178" i="12" s="1"/>
  <c r="E97" i="18" s="1"/>
  <c r="AY108" i="12"/>
  <c r="BY165" i="12"/>
  <c r="BZ165" i="12" s="1"/>
  <c r="D85" i="19" s="1"/>
  <c r="BY174" i="12"/>
  <c r="BZ174" i="12" s="1"/>
  <c r="D94" i="19" s="1"/>
  <c r="AY96" i="12"/>
  <c r="AZ96" i="12" s="1"/>
  <c r="B73" i="17" s="1"/>
  <c r="BS153" i="12"/>
  <c r="BT153" i="12" s="1"/>
  <c r="B73" i="19" s="1"/>
  <c r="BG155" i="12"/>
  <c r="BY155" i="12"/>
  <c r="BZ155" i="12" s="1"/>
  <c r="D75" i="19" s="1"/>
  <c r="BE116" i="12"/>
  <c r="BG116" i="12" s="1"/>
  <c r="BH116" i="12" s="1"/>
  <c r="E93" i="17" s="1"/>
  <c r="BY173" i="12"/>
  <c r="BZ173" i="12" s="1"/>
  <c r="D93" i="19" s="1"/>
  <c r="BE108" i="12"/>
  <c r="BF108" i="12" s="1"/>
  <c r="D85" i="17" s="1"/>
  <c r="BG165" i="12"/>
  <c r="BH165" i="12" s="1"/>
  <c r="B84" i="18" s="1"/>
  <c r="BE96" i="12"/>
  <c r="BF96" i="12" s="1"/>
  <c r="D73" i="17" s="1"/>
  <c r="BM165" i="12"/>
  <c r="BO165" i="12" s="1"/>
  <c r="BP165" i="12" s="1"/>
  <c r="E84" i="18" s="1"/>
  <c r="BS165" i="12"/>
  <c r="BT165" i="12" s="1"/>
  <c r="B85" i="19" s="1"/>
  <c r="BK117" i="12"/>
  <c r="BM117" i="12" s="1"/>
  <c r="BN117" i="12" s="1"/>
  <c r="G94" i="17" s="1"/>
  <c r="BG174" i="12"/>
  <c r="BI174" i="12" s="1"/>
  <c r="BJ174" i="12" s="1"/>
  <c r="C93" i="18" s="1"/>
  <c r="BG153" i="12"/>
  <c r="BI153" i="12" s="1"/>
  <c r="BJ153" i="12" s="1"/>
  <c r="C72" i="18" s="1"/>
  <c r="BM153" i="12"/>
  <c r="BN153" i="12" s="1"/>
  <c r="D72" i="18" s="1"/>
  <c r="AY98" i="12"/>
  <c r="AZ98" i="12" s="1"/>
  <c r="B75" i="17" s="1"/>
  <c r="BM155" i="12"/>
  <c r="BO155" i="12" s="1"/>
  <c r="BP155" i="12" s="1"/>
  <c r="E74" i="18" s="1"/>
  <c r="BK104" i="12"/>
  <c r="BG161" i="12"/>
  <c r="BI161" i="12" s="1"/>
  <c r="BJ161" i="12" s="1"/>
  <c r="C80" i="18" s="1"/>
  <c r="E21" i="13"/>
  <c r="F21" i="13" s="1"/>
  <c r="B21" i="13" s="1"/>
  <c r="E24" i="13"/>
  <c r="F24" i="13" s="1"/>
  <c r="B24" i="13" s="1"/>
  <c r="E28" i="13"/>
  <c r="F28" i="13" s="1"/>
  <c r="B28" i="13" s="1"/>
  <c r="E70" i="13"/>
  <c r="F70" i="13" s="1"/>
  <c r="B70" i="13" s="1"/>
  <c r="E26" i="13"/>
  <c r="F26" i="13" s="1"/>
  <c r="B26" i="13" s="1"/>
  <c r="E67" i="13"/>
  <c r="F67" i="13" s="1"/>
  <c r="B67" i="13" s="1"/>
  <c r="E42" i="13"/>
  <c r="F42" i="13" s="1"/>
  <c r="B42" i="13" s="1"/>
  <c r="E58" i="13"/>
  <c r="F58" i="13" s="1"/>
  <c r="B58" i="13" s="1"/>
  <c r="E56" i="13"/>
  <c r="F56" i="13" s="1"/>
  <c r="B56" i="13" s="1"/>
  <c r="E33" i="13"/>
  <c r="F33" i="13" s="1"/>
  <c r="B33" i="13" s="1"/>
  <c r="E35" i="13"/>
  <c r="F35" i="13" s="1"/>
  <c r="B35" i="13" s="1"/>
  <c r="E71" i="13"/>
  <c r="F71" i="13" s="1"/>
  <c r="B71" i="13" s="1"/>
  <c r="A80" i="13" s="1"/>
  <c r="F80" i="13" s="1"/>
  <c r="E60" i="13"/>
  <c r="F60" i="13" s="1"/>
  <c r="B60" i="13" s="1"/>
  <c r="E40" i="13"/>
  <c r="F40" i="13" s="1"/>
  <c r="B40" i="13" s="1"/>
  <c r="E63" i="13"/>
  <c r="F63" i="13" s="1"/>
  <c r="B63" i="13" s="1"/>
  <c r="E44" i="13"/>
  <c r="F44" i="13" s="1"/>
  <c r="B44" i="13" s="1"/>
  <c r="E36" i="13"/>
  <c r="F36" i="13" s="1"/>
  <c r="B36" i="13" s="1"/>
  <c r="E31" i="13"/>
  <c r="F31" i="13" s="1"/>
  <c r="B31" i="13" s="1"/>
  <c r="E64" i="13"/>
  <c r="F64" i="13" s="1"/>
  <c r="B64" i="13" s="1"/>
  <c r="E27" i="13"/>
  <c r="F27" i="13" s="1"/>
  <c r="B27" i="13" s="1"/>
  <c r="E61" i="13"/>
  <c r="F61" i="13" s="1"/>
  <c r="B61" i="13" s="1"/>
  <c r="E37" i="13"/>
  <c r="F37" i="13" s="1"/>
  <c r="B37" i="13" s="1"/>
  <c r="E48" i="13"/>
  <c r="F48" i="13" s="1"/>
  <c r="B48" i="13" s="1"/>
  <c r="E66" i="13"/>
  <c r="F66" i="13" s="1"/>
  <c r="B66" i="13" s="1"/>
  <c r="E52" i="13"/>
  <c r="F52" i="13" s="1"/>
  <c r="B52" i="13" s="1"/>
  <c r="BS161" i="12"/>
  <c r="BU161" i="12" s="1"/>
  <c r="BV161" i="12" s="1"/>
  <c r="C81" i="19" s="1"/>
  <c r="BM161" i="12"/>
  <c r="BO161" i="12" s="1"/>
  <c r="BP161" i="12" s="1"/>
  <c r="E80" i="18" s="1"/>
  <c r="AD199" i="1"/>
  <c r="E144" i="12"/>
  <c r="E145" i="12" s="1"/>
  <c r="E146" i="12" s="1"/>
  <c r="G68" i="19"/>
  <c r="I68" i="17"/>
  <c r="G67" i="18"/>
  <c r="BA125" i="12"/>
  <c r="BB125" i="12" s="1"/>
  <c r="C102" i="17" s="1"/>
  <c r="BN194" i="12"/>
  <c r="D113" i="18" s="1"/>
  <c r="BO194" i="12"/>
  <c r="BP194" i="12" s="1"/>
  <c r="E113" i="18" s="1"/>
  <c r="B121" i="12"/>
  <c r="AD184" i="1" s="1"/>
  <c r="B132" i="12"/>
  <c r="AD195" i="1" s="1"/>
  <c r="B114" i="12"/>
  <c r="AD177" i="1" s="1"/>
  <c r="B122" i="12"/>
  <c r="AD185" i="1" s="1"/>
  <c r="B104" i="12"/>
  <c r="AD167" i="1" s="1"/>
  <c r="B120" i="12"/>
  <c r="AD183" i="1" s="1"/>
  <c r="B126" i="12"/>
  <c r="AD189" i="1" s="1"/>
  <c r="B129" i="12"/>
  <c r="AD192" i="1" s="1"/>
  <c r="B113" i="12"/>
  <c r="AD176" i="1" s="1"/>
  <c r="B123" i="12"/>
  <c r="AD186" i="1" s="1"/>
  <c r="B131" i="12"/>
  <c r="AD194" i="1" s="1"/>
  <c r="B108" i="12"/>
  <c r="AD171" i="1" s="1"/>
  <c r="B94" i="12"/>
  <c r="AD157" i="1" s="1"/>
  <c r="B105" i="12"/>
  <c r="AD168" i="1" s="1"/>
  <c r="B87" i="12"/>
  <c r="AD150" i="1" s="1"/>
  <c r="B97" i="12"/>
  <c r="AD160" i="1" s="1"/>
  <c r="B99" i="12"/>
  <c r="AD162" i="1" s="1"/>
  <c r="B102" i="12"/>
  <c r="AD165" i="1" s="1"/>
  <c r="B128" i="12"/>
  <c r="AD191" i="1" s="1"/>
  <c r="B125" i="12"/>
  <c r="AD188" i="1" s="1"/>
  <c r="B109" i="12"/>
  <c r="AD172" i="1" s="1"/>
  <c r="B116" i="12"/>
  <c r="AD179" i="1" s="1"/>
  <c r="B124" i="12"/>
  <c r="AD187" i="1" s="1"/>
  <c r="B106" i="12"/>
  <c r="AD169" i="1" s="1"/>
  <c r="B134" i="12"/>
  <c r="AD197" i="1" s="1"/>
  <c r="B100" i="12"/>
  <c r="AD163" i="1" s="1"/>
  <c r="B135" i="12"/>
  <c r="AD198" i="1" s="1"/>
  <c r="B92" i="12"/>
  <c r="AD155" i="1" s="1"/>
  <c r="B90" i="12"/>
  <c r="AD153" i="1" s="1"/>
  <c r="B98" i="12"/>
  <c r="AD161" i="1" s="1"/>
  <c r="B110" i="12"/>
  <c r="AD173" i="1" s="1"/>
  <c r="B96" i="12"/>
  <c r="AD159" i="1" s="1"/>
  <c r="B88" i="12"/>
  <c r="AD151" i="1" s="1"/>
  <c r="B127" i="12"/>
  <c r="AD190" i="1" s="1"/>
  <c r="B93" i="12"/>
  <c r="AD156" i="1" s="1"/>
  <c r="B115" i="12"/>
  <c r="AD178" i="1" s="1"/>
  <c r="B130" i="12"/>
  <c r="AD193" i="1" s="1"/>
  <c r="B111" i="12"/>
  <c r="AD174" i="1" s="1"/>
  <c r="B118" i="12"/>
  <c r="AD181" i="1" s="1"/>
  <c r="B107" i="12"/>
  <c r="AD170" i="1" s="1"/>
  <c r="B91" i="12"/>
  <c r="AD154" i="1" s="1"/>
  <c r="B89" i="12"/>
  <c r="AD152" i="1" s="1"/>
  <c r="B133" i="12"/>
  <c r="AD196" i="1" s="1"/>
  <c r="B112" i="12"/>
  <c r="AD175" i="1" s="1"/>
  <c r="B103" i="12"/>
  <c r="AD166" i="1" s="1"/>
  <c r="B117" i="12"/>
  <c r="AD180" i="1" s="1"/>
  <c r="B101" i="12"/>
  <c r="AD164" i="1" s="1"/>
  <c r="B119" i="12"/>
  <c r="AD182" i="1" s="1"/>
  <c r="B95" i="12"/>
  <c r="AD158" i="1" s="1"/>
  <c r="B84" i="13"/>
  <c r="B136" i="13"/>
  <c r="A81" i="12"/>
  <c r="B150" i="1"/>
  <c r="M153" i="1"/>
  <c r="M150" i="1"/>
  <c r="BN182" i="12" l="1"/>
  <c r="D101" i="18" s="1"/>
  <c r="BG125" i="12"/>
  <c r="BH125" i="12" s="1"/>
  <c r="E102" i="17" s="1"/>
  <c r="BI182" i="12"/>
  <c r="BJ182" i="12" s="1"/>
  <c r="C101" i="18" s="1"/>
  <c r="CA182" i="12"/>
  <c r="CB182" i="12" s="1"/>
  <c r="E102" i="19" s="1"/>
  <c r="BL125" i="12"/>
  <c r="F102" i="17" s="1"/>
  <c r="H119" i="17" s="1"/>
  <c r="BU182" i="12"/>
  <c r="BV182" i="12" s="1"/>
  <c r="C102" i="19" s="1"/>
  <c r="AZ135" i="12"/>
  <c r="B112" i="17" s="1"/>
  <c r="BF104" i="12"/>
  <c r="D81" i="17" s="1"/>
  <c r="BF136" i="12"/>
  <c r="D113" i="17" s="1"/>
  <c r="BL89" i="12"/>
  <c r="F66" i="17" s="1"/>
  <c r="BG113" i="12"/>
  <c r="BH113" i="12" s="1"/>
  <c r="E90" i="17" s="1"/>
  <c r="BI158" i="12"/>
  <c r="BJ158" i="12" s="1"/>
  <c r="C77" i="18" s="1"/>
  <c r="BZ149" i="12"/>
  <c r="D69" i="19" s="1"/>
  <c r="AZ113" i="12"/>
  <c r="B90" i="17" s="1"/>
  <c r="BL107" i="12"/>
  <c r="F84" i="17" s="1"/>
  <c r="BZ152" i="12"/>
  <c r="D72" i="19" s="1"/>
  <c r="BA120" i="12"/>
  <c r="BB120" i="12" s="1"/>
  <c r="C97" i="17" s="1"/>
  <c r="BF88" i="12"/>
  <c r="D65" i="17" s="1"/>
  <c r="BI149" i="12"/>
  <c r="BJ149" i="12" s="1"/>
  <c r="C68" i="18" s="1"/>
  <c r="BT170" i="12"/>
  <c r="B90" i="19" s="1"/>
  <c r="BL92" i="12"/>
  <c r="F69" i="17" s="1"/>
  <c r="BU183" i="12"/>
  <c r="BV183" i="12" s="1"/>
  <c r="C103" i="19" s="1"/>
  <c r="BH183" i="12"/>
  <c r="B102" i="18" s="1"/>
  <c r="BF123" i="12"/>
  <c r="D100" i="17" s="1"/>
  <c r="BT148" i="12"/>
  <c r="B68" i="19" s="1"/>
  <c r="BZ193" i="12"/>
  <c r="D113" i="19" s="1"/>
  <c r="BF93" i="12"/>
  <c r="D70" i="17" s="1"/>
  <c r="BN160" i="12"/>
  <c r="D79" i="18" s="1"/>
  <c r="BT193" i="12"/>
  <c r="B113" i="19" s="1"/>
  <c r="BO175" i="12"/>
  <c r="BP175" i="12" s="1"/>
  <c r="E94" i="18" s="1"/>
  <c r="BG128" i="12"/>
  <c r="BH128" i="12" s="1"/>
  <c r="E105" i="17" s="1"/>
  <c r="BZ164" i="12"/>
  <c r="D84" i="19" s="1"/>
  <c r="BI187" i="12"/>
  <c r="BJ187" i="12" s="1"/>
  <c r="C106" i="18" s="1"/>
  <c r="AZ103" i="12"/>
  <c r="B80" i="17" s="1"/>
  <c r="BN185" i="12"/>
  <c r="D104" i="18" s="1"/>
  <c r="CA146" i="12"/>
  <c r="CB146" i="12" s="1"/>
  <c r="E66" i="19" s="1"/>
  <c r="BN156" i="12"/>
  <c r="D75" i="18" s="1"/>
  <c r="BG115" i="12"/>
  <c r="BH115" i="12" s="1"/>
  <c r="E92" i="17" s="1"/>
  <c r="BF99" i="12"/>
  <c r="D76" i="17" s="1"/>
  <c r="BN189" i="12"/>
  <c r="D108" i="18" s="1"/>
  <c r="BA129" i="12"/>
  <c r="BB129" i="12" s="1"/>
  <c r="C106" i="17" s="1"/>
  <c r="BM115" i="12"/>
  <c r="BN115" i="12" s="1"/>
  <c r="G92" i="17" s="1"/>
  <c r="BA112" i="12"/>
  <c r="BB112" i="12" s="1"/>
  <c r="C89" i="17" s="1"/>
  <c r="AZ90" i="12"/>
  <c r="B67" i="17" s="1"/>
  <c r="BI151" i="12"/>
  <c r="BJ151" i="12" s="1"/>
  <c r="C70" i="18" s="1"/>
  <c r="BH144" i="12"/>
  <c r="B63" i="18" s="1"/>
  <c r="B120" i="18" s="1"/>
  <c r="BG122" i="12"/>
  <c r="BH122" i="12" s="1"/>
  <c r="E99" i="17" s="1"/>
  <c r="BL100" i="12"/>
  <c r="F77" i="17" s="1"/>
  <c r="AZ115" i="12"/>
  <c r="B92" i="17" s="1"/>
  <c r="BU145" i="12"/>
  <c r="BV145" i="12" s="1"/>
  <c r="C65" i="19" s="1"/>
  <c r="BF95" i="12"/>
  <c r="D72" i="17" s="1"/>
  <c r="AZ127" i="12"/>
  <c r="B104" i="17" s="1"/>
  <c r="BO177" i="12"/>
  <c r="BP177" i="12" s="1"/>
  <c r="E96" i="18" s="1"/>
  <c r="BG101" i="12"/>
  <c r="BH101" i="12" s="1"/>
  <c r="E78" i="17" s="1"/>
  <c r="AZ106" i="12"/>
  <c r="B83" i="17" s="1"/>
  <c r="BA130" i="12"/>
  <c r="BB130" i="12" s="1"/>
  <c r="C107" i="17" s="1"/>
  <c r="BA91" i="12"/>
  <c r="BB91" i="12" s="1"/>
  <c r="C68" i="17" s="1"/>
  <c r="BH193" i="12"/>
  <c r="B112" i="18" s="1"/>
  <c r="BT185" i="12"/>
  <c r="B105" i="19" s="1"/>
  <c r="CA192" i="12"/>
  <c r="CB192" i="12" s="1"/>
  <c r="E112" i="19" s="1"/>
  <c r="BT172" i="12"/>
  <c r="B92" i="19" s="1"/>
  <c r="BG118" i="12"/>
  <c r="BH118" i="12" s="1"/>
  <c r="E95" i="17" s="1"/>
  <c r="CA165" i="12"/>
  <c r="CB165" i="12" s="1"/>
  <c r="E85" i="19" s="1"/>
  <c r="BH170" i="12"/>
  <c r="B89" i="18" s="1"/>
  <c r="BN146" i="12"/>
  <c r="D65" i="18" s="1"/>
  <c r="BU155" i="12"/>
  <c r="BV155" i="12" s="1"/>
  <c r="C75" i="19" s="1"/>
  <c r="BH172" i="12"/>
  <c r="B91" i="18" s="1"/>
  <c r="D142" i="12"/>
  <c r="D143" i="12" s="1"/>
  <c r="BO168" i="12"/>
  <c r="BP168" i="12" s="1"/>
  <c r="E87" i="18" s="1"/>
  <c r="BL131" i="12"/>
  <c r="F108" i="17" s="1"/>
  <c r="BT146" i="12"/>
  <c r="B66" i="19" s="1"/>
  <c r="BU187" i="12"/>
  <c r="BV187" i="12" s="1"/>
  <c r="C107" i="19" s="1"/>
  <c r="V136" i="12"/>
  <c r="W136" i="12" s="1"/>
  <c r="X136" i="12" s="1"/>
  <c r="AZ87" i="12"/>
  <c r="B64" i="17" s="1"/>
  <c r="BU160" i="12"/>
  <c r="BV160" i="12" s="1"/>
  <c r="C80" i="19" s="1"/>
  <c r="BT188" i="12"/>
  <c r="B108" i="19" s="1"/>
  <c r="BZ170" i="12"/>
  <c r="D90" i="19" s="1"/>
  <c r="BL120" i="12"/>
  <c r="F97" i="17" s="1"/>
  <c r="BN186" i="12"/>
  <c r="D105" i="18" s="1"/>
  <c r="BL95" i="12"/>
  <c r="F72" i="17" s="1"/>
  <c r="BI145" i="12"/>
  <c r="BJ145" i="12" s="1"/>
  <c r="C64" i="18" s="1"/>
  <c r="CA159" i="12"/>
  <c r="CB159" i="12" s="1"/>
  <c r="E79" i="19" s="1"/>
  <c r="CA177" i="12"/>
  <c r="CB177" i="12" s="1"/>
  <c r="E97" i="19" s="1"/>
  <c r="BL114" i="12"/>
  <c r="F91" i="17" s="1"/>
  <c r="BT177" i="12"/>
  <c r="B97" i="19" s="1"/>
  <c r="BF112" i="12"/>
  <c r="D89" i="17" s="1"/>
  <c r="BT164" i="12"/>
  <c r="B84" i="19" s="1"/>
  <c r="CA168" i="12"/>
  <c r="CB168" i="12" s="1"/>
  <c r="E88" i="19" s="1"/>
  <c r="BU173" i="12"/>
  <c r="BV173" i="12" s="1"/>
  <c r="C93" i="19" s="1"/>
  <c r="BI177" i="12"/>
  <c r="BJ177" i="12" s="1"/>
  <c r="C96" i="18" s="1"/>
  <c r="BL103" i="12"/>
  <c r="F80" i="17" s="1"/>
  <c r="Q101" i="12"/>
  <c r="AZ110" i="12"/>
  <c r="B87" i="17" s="1"/>
  <c r="BG111" i="12"/>
  <c r="BH111" i="12" s="1"/>
  <c r="E88" i="17" s="1"/>
  <c r="BL113" i="12"/>
  <c r="F90" i="17" s="1"/>
  <c r="BH166" i="12"/>
  <c r="B85" i="18" s="1"/>
  <c r="BA119" i="12"/>
  <c r="BB119" i="12" s="1"/>
  <c r="C96" i="17" s="1"/>
  <c r="BL93" i="12"/>
  <c r="F70" i="17" s="1"/>
  <c r="BA123" i="12"/>
  <c r="BB123" i="12" s="1"/>
  <c r="C100" i="17" s="1"/>
  <c r="AE136" i="12"/>
  <c r="AE137" i="12" s="1"/>
  <c r="AF137" i="12" s="1"/>
  <c r="AG137" i="12" s="1"/>
  <c r="AH137" i="12" s="1"/>
  <c r="AZ128" i="12"/>
  <c r="B105" i="17" s="1"/>
  <c r="BL126" i="12"/>
  <c r="F103" i="17" s="1"/>
  <c r="AZ99" i="12"/>
  <c r="B76" i="17" s="1"/>
  <c r="BF102" i="12"/>
  <c r="D79" i="17" s="1"/>
  <c r="BZ150" i="12"/>
  <c r="D70" i="19" s="1"/>
  <c r="BU149" i="12"/>
  <c r="BV149" i="12" s="1"/>
  <c r="C69" i="19" s="1"/>
  <c r="BN162" i="12"/>
  <c r="D81" i="18" s="1"/>
  <c r="BN192" i="12"/>
  <c r="D111" i="18" s="1"/>
  <c r="BA126" i="12"/>
  <c r="BB126" i="12" s="1"/>
  <c r="C103" i="17" s="1"/>
  <c r="BO172" i="12"/>
  <c r="BP172" i="12" s="1"/>
  <c r="E91" i="18" s="1"/>
  <c r="AZ114" i="12"/>
  <c r="B91" i="17" s="1"/>
  <c r="U193" i="12"/>
  <c r="U194" i="12" s="1"/>
  <c r="BU150" i="12"/>
  <c r="BV150" i="12" s="1"/>
  <c r="C70" i="19" s="1"/>
  <c r="BM88" i="12"/>
  <c r="BN88" i="12" s="1"/>
  <c r="G65" i="17" s="1"/>
  <c r="AZ102" i="12"/>
  <c r="B79" i="17" s="1"/>
  <c r="CA190" i="12"/>
  <c r="CB190" i="12" s="1"/>
  <c r="E110" i="19" s="1"/>
  <c r="BN171" i="12"/>
  <c r="D90" i="18" s="1"/>
  <c r="BF135" i="12"/>
  <c r="D112" i="17" s="1"/>
  <c r="AZ95" i="12"/>
  <c r="B72" i="17" s="1"/>
  <c r="BO153" i="12"/>
  <c r="BP153" i="12" s="1"/>
  <c r="E72" i="18" s="1"/>
  <c r="AE193" i="12"/>
  <c r="AE194" i="12" s="1"/>
  <c r="BM118" i="12"/>
  <c r="BN118" i="12" s="1"/>
  <c r="G95" i="17" s="1"/>
  <c r="AZ117" i="12"/>
  <c r="B94" i="17" s="1"/>
  <c r="BA121" i="12"/>
  <c r="BB121" i="12" s="1"/>
  <c r="C98" i="17" s="1"/>
  <c r="BA89" i="12"/>
  <c r="BB89" i="12" s="1"/>
  <c r="C66" i="17" s="1"/>
  <c r="BN181" i="12"/>
  <c r="D100" i="18" s="1"/>
  <c r="CA156" i="12"/>
  <c r="CB156" i="12" s="1"/>
  <c r="E76" i="19" s="1"/>
  <c r="BG130" i="12"/>
  <c r="BH130" i="12" s="1"/>
  <c r="E107" i="17" s="1"/>
  <c r="BL111" i="12"/>
  <c r="F88" i="17" s="1"/>
  <c r="BN145" i="12"/>
  <c r="D64" i="18" s="1"/>
  <c r="CA148" i="12"/>
  <c r="CB148" i="12" s="1"/>
  <c r="E68" i="19" s="1"/>
  <c r="BZ148" i="12"/>
  <c r="D68" i="19" s="1"/>
  <c r="CA158" i="12"/>
  <c r="CB158" i="12" s="1"/>
  <c r="E78" i="19" s="1"/>
  <c r="BZ158" i="12"/>
  <c r="D78" i="19" s="1"/>
  <c r="BZ147" i="12"/>
  <c r="D67" i="19" s="1"/>
  <c r="CA147" i="12"/>
  <c r="CB147" i="12" s="1"/>
  <c r="E67" i="19" s="1"/>
  <c r="BG97" i="12"/>
  <c r="BH97" i="12" s="1"/>
  <c r="E74" i="17" s="1"/>
  <c r="BF97" i="12"/>
  <c r="D74" i="17" s="1"/>
  <c r="BM128" i="12"/>
  <c r="BN128" i="12" s="1"/>
  <c r="G105" i="17" s="1"/>
  <c r="BL128" i="12"/>
  <c r="F105" i="17" s="1"/>
  <c r="BI160" i="12"/>
  <c r="BJ160" i="12" s="1"/>
  <c r="C79" i="18" s="1"/>
  <c r="BH160" i="12"/>
  <c r="B79" i="18" s="1"/>
  <c r="BO187" i="12"/>
  <c r="BP187" i="12" s="1"/>
  <c r="E106" i="18" s="1"/>
  <c r="BN187" i="12"/>
  <c r="D106" i="18" s="1"/>
  <c r="BI171" i="12"/>
  <c r="BJ171" i="12" s="1"/>
  <c r="C90" i="18" s="1"/>
  <c r="BH171" i="12"/>
  <c r="B90" i="18" s="1"/>
  <c r="BN170" i="12"/>
  <c r="D89" i="18" s="1"/>
  <c r="BO170" i="12"/>
  <c r="BP170" i="12" s="1"/>
  <c r="E89" i="18" s="1"/>
  <c r="AZ116" i="12"/>
  <c r="B93" i="17" s="1"/>
  <c r="BA116" i="12"/>
  <c r="BB116" i="12" s="1"/>
  <c r="C93" i="17" s="1"/>
  <c r="BF103" i="12"/>
  <c r="D80" i="17" s="1"/>
  <c r="BG103" i="12"/>
  <c r="BH103" i="12" s="1"/>
  <c r="E80" i="17" s="1"/>
  <c r="AZ118" i="12"/>
  <c r="B95" i="17" s="1"/>
  <c r="BA118" i="12"/>
  <c r="BB118" i="12" s="1"/>
  <c r="C95" i="17" s="1"/>
  <c r="BN169" i="12"/>
  <c r="D88" i="18" s="1"/>
  <c r="BO169" i="12"/>
  <c r="BP169" i="12" s="1"/>
  <c r="E88" i="18" s="1"/>
  <c r="BM135" i="12"/>
  <c r="BN135" i="12" s="1"/>
  <c r="G112" i="17" s="1"/>
  <c r="BF98" i="12"/>
  <c r="D75" i="17" s="1"/>
  <c r="BG106" i="12"/>
  <c r="BH106" i="12" s="1"/>
  <c r="E83" i="17" s="1"/>
  <c r="BF132" i="12"/>
  <c r="D109" i="17" s="1"/>
  <c r="BN180" i="12"/>
  <c r="D99" i="18" s="1"/>
  <c r="BI173" i="12"/>
  <c r="BJ173" i="12" s="1"/>
  <c r="C92" i="18" s="1"/>
  <c r="BH148" i="12"/>
  <c r="B67" i="18" s="1"/>
  <c r="BI150" i="12"/>
  <c r="BJ150" i="12" s="1"/>
  <c r="C69" i="18" s="1"/>
  <c r="B79" i="13"/>
  <c r="B78" i="13"/>
  <c r="E142" i="13" s="1"/>
  <c r="E143" i="13" s="1"/>
  <c r="B142" i="13" s="1"/>
  <c r="BH155" i="12"/>
  <c r="B74" i="18" s="1"/>
  <c r="BI155" i="12"/>
  <c r="BJ155" i="12" s="1"/>
  <c r="C74" i="18" s="1"/>
  <c r="BT154" i="12"/>
  <c r="B74" i="19" s="1"/>
  <c r="BU154" i="12"/>
  <c r="BV154" i="12" s="1"/>
  <c r="C74" i="19" s="1"/>
  <c r="BN167" i="12"/>
  <c r="D86" i="18" s="1"/>
  <c r="BO167" i="12"/>
  <c r="BP167" i="12" s="1"/>
  <c r="E86" i="18" s="1"/>
  <c r="BO157" i="12"/>
  <c r="BP157" i="12" s="1"/>
  <c r="E76" i="18" s="1"/>
  <c r="BN157" i="12"/>
  <c r="D76" i="18" s="1"/>
  <c r="BL112" i="12"/>
  <c r="F89" i="17" s="1"/>
  <c r="BM112" i="12"/>
  <c r="BN112" i="12" s="1"/>
  <c r="G89" i="17" s="1"/>
  <c r="CA194" i="12"/>
  <c r="CB194" i="12" s="1"/>
  <c r="E114" i="19" s="1"/>
  <c r="BZ194" i="12"/>
  <c r="D114" i="19" s="1"/>
  <c r="BU181" i="12"/>
  <c r="BV181" i="12" s="1"/>
  <c r="C101" i="19" s="1"/>
  <c r="BT181" i="12"/>
  <c r="B101" i="19" s="1"/>
  <c r="BM123" i="12"/>
  <c r="BN123" i="12" s="1"/>
  <c r="G100" i="17" s="1"/>
  <c r="BL123" i="12"/>
  <c r="F100" i="17" s="1"/>
  <c r="BZ183" i="12"/>
  <c r="D103" i="19" s="1"/>
  <c r="CA183" i="12"/>
  <c r="CB183" i="12" s="1"/>
  <c r="E103" i="19" s="1"/>
  <c r="BO158" i="12"/>
  <c r="BP158" i="12" s="1"/>
  <c r="E77" i="18" s="1"/>
  <c r="BN158" i="12"/>
  <c r="D77" i="18" s="1"/>
  <c r="AZ136" i="12"/>
  <c r="B113" i="17" s="1"/>
  <c r="BA136" i="12"/>
  <c r="BB136" i="12" s="1"/>
  <c r="C113" i="17" s="1"/>
  <c r="AW193" i="12"/>
  <c r="AW194" i="12" s="1"/>
  <c r="AX193" i="12"/>
  <c r="AY193" i="12" s="1"/>
  <c r="AZ193" i="12" s="1"/>
  <c r="AN136" i="12"/>
  <c r="AN137" i="12" s="1"/>
  <c r="AO137" i="12" s="1"/>
  <c r="AP137" i="12" s="1"/>
  <c r="AQ137" i="12" s="1"/>
  <c r="AN193" i="12"/>
  <c r="AN194" i="12" s="1"/>
  <c r="AO193" i="12"/>
  <c r="AP193" i="12" s="1"/>
  <c r="AQ193" i="12" s="1"/>
  <c r="U136" i="12"/>
  <c r="U137" i="12" s="1"/>
  <c r="BT162" i="12"/>
  <c r="B82" i="19" s="1"/>
  <c r="BM137" i="12"/>
  <c r="BN137" i="12" s="1"/>
  <c r="G114" i="17" s="1"/>
  <c r="BN166" i="12"/>
  <c r="D85" i="18" s="1"/>
  <c r="BL122" i="12"/>
  <c r="F99" i="17" s="1"/>
  <c r="BM130" i="12"/>
  <c r="BN130" i="12" s="1"/>
  <c r="G107" i="17" s="1"/>
  <c r="BH175" i="12"/>
  <c r="B94" i="18" s="1"/>
  <c r="BU174" i="12"/>
  <c r="BV174" i="12" s="1"/>
  <c r="C94" i="19" s="1"/>
  <c r="CA145" i="12"/>
  <c r="CB145" i="12" s="1"/>
  <c r="E65" i="19" s="1"/>
  <c r="BH178" i="12"/>
  <c r="B97" i="18" s="1"/>
  <c r="BI146" i="12"/>
  <c r="BJ146" i="12" s="1"/>
  <c r="C65" i="18" s="1"/>
  <c r="BU166" i="12"/>
  <c r="BV166" i="12" s="1"/>
  <c r="C86" i="19" s="1"/>
  <c r="CA191" i="12"/>
  <c r="CB191" i="12" s="1"/>
  <c r="E111" i="19" s="1"/>
  <c r="BG110" i="12"/>
  <c r="BH110" i="12" s="1"/>
  <c r="E87" i="17" s="1"/>
  <c r="BZ187" i="12"/>
  <c r="D107" i="19" s="1"/>
  <c r="BF114" i="12"/>
  <c r="D91" i="17" s="1"/>
  <c r="BL124" i="12"/>
  <c r="F101" i="17" s="1"/>
  <c r="BZ180" i="12"/>
  <c r="D100" i="19" s="1"/>
  <c r="BN159" i="12"/>
  <c r="D78" i="18" s="1"/>
  <c r="AZ122" i="12"/>
  <c r="B99" i="17" s="1"/>
  <c r="BF107" i="12"/>
  <c r="D84" i="17" s="1"/>
  <c r="AZ101" i="12"/>
  <c r="B78" i="17" s="1"/>
  <c r="BT147" i="12"/>
  <c r="B67" i="19" s="1"/>
  <c r="V193" i="12"/>
  <c r="W193" i="12" s="1"/>
  <c r="X193" i="12" s="1"/>
  <c r="BI159" i="12"/>
  <c r="BJ159" i="12" s="1"/>
  <c r="C78" i="18" s="1"/>
  <c r="BT194" i="12"/>
  <c r="B114" i="19" s="1"/>
  <c r="BM109" i="12"/>
  <c r="BN109" i="12" s="1"/>
  <c r="G86" i="17" s="1"/>
  <c r="BF134" i="12"/>
  <c r="D111" i="17" s="1"/>
  <c r="AZ111" i="12"/>
  <c r="B88" i="17" s="1"/>
  <c r="BU189" i="12"/>
  <c r="BV189" i="12" s="1"/>
  <c r="C109" i="19" s="1"/>
  <c r="BN173" i="12"/>
  <c r="D92" i="18" s="1"/>
  <c r="BN163" i="12"/>
  <c r="D82" i="18" s="1"/>
  <c r="BU156" i="12"/>
  <c r="BV156" i="12" s="1"/>
  <c r="C76" i="19" s="1"/>
  <c r="BO147" i="12"/>
  <c r="BP147" i="12" s="1"/>
  <c r="E66" i="18" s="1"/>
  <c r="BA88" i="12"/>
  <c r="BB88" i="12" s="1"/>
  <c r="C65" i="17" s="1"/>
  <c r="BG120" i="12"/>
  <c r="BH120" i="12" s="1"/>
  <c r="E97" i="17" s="1"/>
  <c r="BO179" i="12"/>
  <c r="BP179" i="12" s="1"/>
  <c r="E98" i="18" s="1"/>
  <c r="BM105" i="12"/>
  <c r="BN105" i="12" s="1"/>
  <c r="G82" i="17" s="1"/>
  <c r="BG109" i="12"/>
  <c r="BH109" i="12" s="1"/>
  <c r="E86" i="17" s="1"/>
  <c r="BM90" i="12"/>
  <c r="BN90" i="12" s="1"/>
  <c r="G67" i="17" s="1"/>
  <c r="AF193" i="12"/>
  <c r="AG193" i="12" s="1"/>
  <c r="AH193" i="12" s="1"/>
  <c r="BH169" i="12"/>
  <c r="B88" i="18" s="1"/>
  <c r="BA137" i="12"/>
  <c r="BB137" i="12" s="1"/>
  <c r="C114" i="17" s="1"/>
  <c r="BT163" i="12"/>
  <c r="B83" i="19" s="1"/>
  <c r="BG108" i="12"/>
  <c r="BH108" i="12" s="1"/>
  <c r="E85" i="17" s="1"/>
  <c r="BM101" i="12"/>
  <c r="BN101" i="12" s="1"/>
  <c r="G78" i="17" s="1"/>
  <c r="BO152" i="12"/>
  <c r="BP152" i="12" s="1"/>
  <c r="E71" i="18" s="1"/>
  <c r="BN165" i="12"/>
  <c r="D84" i="18" s="1"/>
  <c r="BG89" i="12"/>
  <c r="BH89" i="12" s="1"/>
  <c r="E66" i="17" s="1"/>
  <c r="BN193" i="12"/>
  <c r="D112" i="18" s="1"/>
  <c r="BG87" i="12"/>
  <c r="BH87" i="12" s="1"/>
  <c r="E64" i="17" s="1"/>
  <c r="BH164" i="12"/>
  <c r="B83" i="18" s="1"/>
  <c r="BT171" i="12"/>
  <c r="B91" i="19" s="1"/>
  <c r="BZ154" i="12"/>
  <c r="D74" i="19" s="1"/>
  <c r="BT180" i="12"/>
  <c r="B100" i="19" s="1"/>
  <c r="BL94" i="12"/>
  <c r="F71" i="17" s="1"/>
  <c r="BN164" i="12"/>
  <c r="D83" i="18" s="1"/>
  <c r="CA160" i="12"/>
  <c r="CB160" i="12" s="1"/>
  <c r="E80" i="19" s="1"/>
  <c r="BF91" i="12"/>
  <c r="D68" i="17" s="1"/>
  <c r="CA175" i="12"/>
  <c r="CB175" i="12" s="1"/>
  <c r="E95" i="19" s="1"/>
  <c r="BA131" i="12"/>
  <c r="BB131" i="12" s="1"/>
  <c r="C108" i="17" s="1"/>
  <c r="BM136" i="12"/>
  <c r="BN136" i="12" s="1"/>
  <c r="G113" i="17" s="1"/>
  <c r="BT159" i="12"/>
  <c r="B79" i="19" s="1"/>
  <c r="BA109" i="12"/>
  <c r="BB109" i="12" s="1"/>
  <c r="C86" i="17" s="1"/>
  <c r="BZ179" i="12"/>
  <c r="D99" i="19" s="1"/>
  <c r="BA107" i="12"/>
  <c r="BB107" i="12" s="1"/>
  <c r="C84" i="17" s="1"/>
  <c r="BZ172" i="12"/>
  <c r="D92" i="19" s="1"/>
  <c r="BI162" i="12"/>
  <c r="BJ162" i="12" s="1"/>
  <c r="C81" i="18" s="1"/>
  <c r="CA169" i="12"/>
  <c r="CB169" i="12" s="1"/>
  <c r="E89" i="19" s="1"/>
  <c r="BG121" i="12"/>
  <c r="BH121" i="12" s="1"/>
  <c r="E98" i="17" s="1"/>
  <c r="BH194" i="12"/>
  <c r="B113" i="18" s="1"/>
  <c r="CA161" i="12"/>
  <c r="CB161" i="12" s="1"/>
  <c r="E81" i="19" s="1"/>
  <c r="BI154" i="12"/>
  <c r="BJ154" i="12" s="1"/>
  <c r="C73" i="18" s="1"/>
  <c r="BA94" i="12"/>
  <c r="BB94" i="12" s="1"/>
  <c r="C71" i="17" s="1"/>
  <c r="BM87" i="12"/>
  <c r="BN87" i="12" s="1"/>
  <c r="G64" i="17" s="1"/>
  <c r="BM121" i="12"/>
  <c r="BN121" i="12" s="1"/>
  <c r="G98" i="17" s="1"/>
  <c r="BT152" i="12"/>
  <c r="B72" i="19" s="1"/>
  <c r="BZ162" i="12"/>
  <c r="D82" i="19" s="1"/>
  <c r="BI152" i="12"/>
  <c r="BJ152" i="12" s="1"/>
  <c r="C71" i="18" s="1"/>
  <c r="BU151" i="12"/>
  <c r="BV151" i="12" s="1"/>
  <c r="C71" i="19" s="1"/>
  <c r="CA173" i="12"/>
  <c r="CB173" i="12" s="1"/>
  <c r="E93" i="19" s="1"/>
  <c r="BI192" i="12"/>
  <c r="BJ192" i="12" s="1"/>
  <c r="C111" i="18" s="1"/>
  <c r="BA124" i="12"/>
  <c r="BB124" i="12" s="1"/>
  <c r="C101" i="17" s="1"/>
  <c r="BT192" i="12"/>
  <c r="B112" i="19" s="1"/>
  <c r="BU169" i="12"/>
  <c r="BV169" i="12" s="1"/>
  <c r="C89" i="19" s="1"/>
  <c r="BH186" i="12"/>
  <c r="B105" i="18" s="1"/>
  <c r="BI157" i="12"/>
  <c r="BJ157" i="12" s="1"/>
  <c r="C76" i="18" s="1"/>
  <c r="BF92" i="12"/>
  <c r="D69" i="17" s="1"/>
  <c r="BM91" i="12"/>
  <c r="BN91" i="12" s="1"/>
  <c r="G68" i="17" s="1"/>
  <c r="BA134" i="12"/>
  <c r="BB134" i="12" s="1"/>
  <c r="C111" i="17" s="1"/>
  <c r="BI190" i="12"/>
  <c r="BJ190" i="12" s="1"/>
  <c r="C109" i="18" s="1"/>
  <c r="BM99" i="12"/>
  <c r="BN99" i="12" s="1"/>
  <c r="G76" i="17" s="1"/>
  <c r="BG96" i="12"/>
  <c r="BH96" i="12" s="1"/>
  <c r="E73" i="17" s="1"/>
  <c r="BZ185" i="12"/>
  <c r="D105" i="19" s="1"/>
  <c r="BM133" i="12"/>
  <c r="BN133" i="12" s="1"/>
  <c r="G110" i="17" s="1"/>
  <c r="BT144" i="12"/>
  <c r="B64" i="19" s="1"/>
  <c r="BL96" i="12"/>
  <c r="F73" i="17" s="1"/>
  <c r="BZ176" i="12"/>
  <c r="D96" i="19" s="1"/>
  <c r="BG117" i="12"/>
  <c r="BH117" i="12" s="1"/>
  <c r="E94" i="17" s="1"/>
  <c r="BH188" i="12"/>
  <c r="B107" i="18" s="1"/>
  <c r="CA181" i="12"/>
  <c r="CB181" i="12" s="1"/>
  <c r="E101" i="19" s="1"/>
  <c r="BU190" i="12"/>
  <c r="BV190" i="12" s="1"/>
  <c r="C110" i="19" s="1"/>
  <c r="BZ166" i="12"/>
  <c r="D86" i="19" s="1"/>
  <c r="CA188" i="12"/>
  <c r="CB188" i="12" s="1"/>
  <c r="E108" i="19" s="1"/>
  <c r="BM132" i="12"/>
  <c r="BN132" i="12" s="1"/>
  <c r="G109" i="17" s="1"/>
  <c r="BL110" i="12"/>
  <c r="F87" i="17" s="1"/>
  <c r="BO176" i="12"/>
  <c r="BP176" i="12" s="1"/>
  <c r="E95" i="18" s="1"/>
  <c r="BL104" i="12"/>
  <c r="F81" i="17" s="1"/>
  <c r="BM104" i="12"/>
  <c r="BN104" i="12" s="1"/>
  <c r="G81" i="17" s="1"/>
  <c r="AZ108" i="12"/>
  <c r="B85" i="17" s="1"/>
  <c r="BA108" i="12"/>
  <c r="BB108" i="12" s="1"/>
  <c r="C85" i="17" s="1"/>
  <c r="BL102" i="12"/>
  <c r="F79" i="17" s="1"/>
  <c r="BM102" i="12"/>
  <c r="BN102" i="12" s="1"/>
  <c r="G79" i="17" s="1"/>
  <c r="BM127" i="12"/>
  <c r="BN127" i="12" s="1"/>
  <c r="G104" i="17" s="1"/>
  <c r="BL127" i="12"/>
  <c r="F104" i="17" s="1"/>
  <c r="BI163" i="12"/>
  <c r="BJ163" i="12" s="1"/>
  <c r="C82" i="18" s="1"/>
  <c r="BN161" i="12"/>
  <c r="D80" i="18" s="1"/>
  <c r="BF90" i="12"/>
  <c r="D67" i="17" s="1"/>
  <c r="BZ189" i="12"/>
  <c r="D109" i="19" s="1"/>
  <c r="BG137" i="12"/>
  <c r="BH137" i="12" s="1"/>
  <c r="E114" i="17" s="1"/>
  <c r="BH153" i="12"/>
  <c r="B72" i="18" s="1"/>
  <c r="BU184" i="12"/>
  <c r="BV184" i="12" s="1"/>
  <c r="C104" i="19" s="1"/>
  <c r="BZ157" i="12"/>
  <c r="D77" i="19" s="1"/>
  <c r="BO149" i="12"/>
  <c r="BP149" i="12" s="1"/>
  <c r="E68" i="18" s="1"/>
  <c r="AZ133" i="12"/>
  <c r="B110" i="17" s="1"/>
  <c r="BN174" i="12"/>
  <c r="D93" i="18" s="1"/>
  <c r="AZ97" i="12"/>
  <c r="B74" i="17" s="1"/>
  <c r="BA97" i="12"/>
  <c r="BB97" i="12" s="1"/>
  <c r="C74" i="17" s="1"/>
  <c r="AZ100" i="12"/>
  <c r="B77" i="17" s="1"/>
  <c r="BA100" i="12"/>
  <c r="BB100" i="12" s="1"/>
  <c r="C77" i="17" s="1"/>
  <c r="BZ171" i="12"/>
  <c r="D91" i="19" s="1"/>
  <c r="CA171" i="12"/>
  <c r="CB171" i="12" s="1"/>
  <c r="E91" i="19" s="1"/>
  <c r="BF133" i="12"/>
  <c r="D110" i="17" s="1"/>
  <c r="BG133" i="12"/>
  <c r="BH133" i="12" s="1"/>
  <c r="E110" i="17" s="1"/>
  <c r="BF127" i="12"/>
  <c r="D104" i="17" s="1"/>
  <c r="BG127" i="12"/>
  <c r="BH127" i="12" s="1"/>
  <c r="E104" i="17" s="1"/>
  <c r="CA144" i="12"/>
  <c r="CB144" i="12" s="1"/>
  <c r="E64" i="19" s="1"/>
  <c r="BZ144" i="12"/>
  <c r="D64" i="19" s="1"/>
  <c r="BH147" i="12"/>
  <c r="B66" i="18" s="1"/>
  <c r="BI147" i="12"/>
  <c r="BJ147" i="12" s="1"/>
  <c r="C66" i="18" s="1"/>
  <c r="BO190" i="12"/>
  <c r="BP190" i="12" s="1"/>
  <c r="E109" i="18" s="1"/>
  <c r="BF129" i="12"/>
  <c r="D106" i="17" s="1"/>
  <c r="CA153" i="12"/>
  <c r="CB153" i="12" s="1"/>
  <c r="E73" i="19" s="1"/>
  <c r="BH184" i="12"/>
  <c r="B103" i="18" s="1"/>
  <c r="BH181" i="12"/>
  <c r="B100" i="18" s="1"/>
  <c r="BA132" i="12"/>
  <c r="BB132" i="12" s="1"/>
  <c r="C109" i="17" s="1"/>
  <c r="BF116" i="12"/>
  <c r="D93" i="17" s="1"/>
  <c r="BG126" i="12"/>
  <c r="BH126" i="12" s="1"/>
  <c r="E103" i="17" s="1"/>
  <c r="BL134" i="12"/>
  <c r="F111" i="17" s="1"/>
  <c r="CA163" i="12"/>
  <c r="CB163" i="12" s="1"/>
  <c r="E83" i="19" s="1"/>
  <c r="BN151" i="12"/>
  <c r="D70" i="18" s="1"/>
  <c r="BT186" i="12"/>
  <c r="B106" i="19" s="1"/>
  <c r="BM106" i="12"/>
  <c r="BN106" i="12" s="1"/>
  <c r="G83" i="17" s="1"/>
  <c r="BG124" i="12"/>
  <c r="BH124" i="12" s="1"/>
  <c r="E101" i="17" s="1"/>
  <c r="BH189" i="12"/>
  <c r="B108" i="18" s="1"/>
  <c r="BZ178" i="12"/>
  <c r="D98" i="19" s="1"/>
  <c r="BG94" i="12"/>
  <c r="BH94" i="12" s="1"/>
  <c r="E71" i="17" s="1"/>
  <c r="CA186" i="12"/>
  <c r="CB186" i="12" s="1"/>
  <c r="E106" i="19" s="1"/>
  <c r="BI179" i="12"/>
  <c r="BJ179" i="12" s="1"/>
  <c r="C98" i="18" s="1"/>
  <c r="BO184" i="12"/>
  <c r="BP184" i="12" s="1"/>
  <c r="E103" i="18" s="1"/>
  <c r="BI180" i="12"/>
  <c r="BJ180" i="12" s="1"/>
  <c r="C99" i="18" s="1"/>
  <c r="BU191" i="12"/>
  <c r="BV191" i="12" s="1"/>
  <c r="C111" i="19" s="1"/>
  <c r="BN150" i="12"/>
  <c r="D69" i="18" s="1"/>
  <c r="BO144" i="12"/>
  <c r="BP144" i="12" s="1"/>
  <c r="E63" i="18" s="1"/>
  <c r="BI168" i="12"/>
  <c r="BJ168" i="12" s="1"/>
  <c r="C87" i="18" s="1"/>
  <c r="BU153" i="12"/>
  <c r="BV153" i="12" s="1"/>
  <c r="C73" i="19" s="1"/>
  <c r="BM129" i="12"/>
  <c r="BN129" i="12" s="1"/>
  <c r="G106" i="17" s="1"/>
  <c r="BO191" i="12"/>
  <c r="BP191" i="12" s="1"/>
  <c r="E110" i="18" s="1"/>
  <c r="BI167" i="12"/>
  <c r="BJ167" i="12" s="1"/>
  <c r="C86" i="18" s="1"/>
  <c r="BH176" i="12"/>
  <c r="B95" i="18" s="1"/>
  <c r="BH174" i="12"/>
  <c r="B93" i="18" s="1"/>
  <c r="BI185" i="12"/>
  <c r="BJ185" i="12" s="1"/>
  <c r="C104" i="18" s="1"/>
  <c r="CA151" i="12"/>
  <c r="CB151" i="12" s="1"/>
  <c r="E71" i="19" s="1"/>
  <c r="BI191" i="12"/>
  <c r="BJ191" i="12" s="1"/>
  <c r="C110" i="18" s="1"/>
  <c r="BZ167" i="12"/>
  <c r="D87" i="19" s="1"/>
  <c r="BL98" i="12"/>
  <c r="F75" i="17" s="1"/>
  <c r="BU158" i="12"/>
  <c r="BV158" i="12" s="1"/>
  <c r="C78" i="19" s="1"/>
  <c r="BO183" i="12"/>
  <c r="BP183" i="12" s="1"/>
  <c r="E102" i="18" s="1"/>
  <c r="BO148" i="12"/>
  <c r="BP148" i="12" s="1"/>
  <c r="E67" i="18" s="1"/>
  <c r="BU179" i="12"/>
  <c r="BV179" i="12" s="1"/>
  <c r="C99" i="19" s="1"/>
  <c r="BN188" i="12"/>
  <c r="D107" i="18" s="1"/>
  <c r="BA93" i="12"/>
  <c r="BB93" i="12" s="1"/>
  <c r="C70" i="17" s="1"/>
  <c r="BI165" i="12"/>
  <c r="BJ165" i="12" s="1"/>
  <c r="C84" i="18" s="1"/>
  <c r="BG119" i="12"/>
  <c r="BH119" i="12" s="1"/>
  <c r="E96" i="17" s="1"/>
  <c r="BG105" i="12"/>
  <c r="BH105" i="12" s="1"/>
  <c r="E82" i="17" s="1"/>
  <c r="BI156" i="12"/>
  <c r="BJ156" i="12" s="1"/>
  <c r="C75" i="18" s="1"/>
  <c r="CA184" i="12"/>
  <c r="CB184" i="12" s="1"/>
  <c r="E104" i="19" s="1"/>
  <c r="BF131" i="12"/>
  <c r="D108" i="17" s="1"/>
  <c r="AZ105" i="12"/>
  <c r="B82" i="17" s="1"/>
  <c r="BM116" i="12"/>
  <c r="BN116" i="12" s="1"/>
  <c r="G93" i="17" s="1"/>
  <c r="BT168" i="12"/>
  <c r="B88" i="19" s="1"/>
  <c r="BL97" i="12"/>
  <c r="F74" i="17" s="1"/>
  <c r="A79" i="13"/>
  <c r="F79" i="13" s="1"/>
  <c r="BG100" i="12"/>
  <c r="BH100" i="12" s="1"/>
  <c r="E77" i="17" s="1"/>
  <c r="BU157" i="12"/>
  <c r="BV157" i="12" s="1"/>
  <c r="C77" i="19" s="1"/>
  <c r="BU167" i="12"/>
  <c r="BV167" i="12" s="1"/>
  <c r="C87" i="19" s="1"/>
  <c r="BU175" i="12"/>
  <c r="BV175" i="12" s="1"/>
  <c r="C95" i="19" s="1"/>
  <c r="B155" i="13"/>
  <c r="BU178" i="12"/>
  <c r="BV178" i="12" s="1"/>
  <c r="C98" i="19" s="1"/>
  <c r="BN155" i="12"/>
  <c r="D74" i="18" s="1"/>
  <c r="BU165" i="12"/>
  <c r="BV165" i="12" s="1"/>
  <c r="C85" i="19" s="1"/>
  <c r="BH161" i="12"/>
  <c r="B80" i="18" s="1"/>
  <c r="BT161" i="12"/>
  <c r="B81" i="19" s="1"/>
  <c r="BL108" i="12"/>
  <c r="F85" i="17" s="1"/>
  <c r="BA96" i="12"/>
  <c r="BB96" i="12" s="1"/>
  <c r="C73" i="17" s="1"/>
  <c r="AZ104" i="12"/>
  <c r="B81" i="17" s="1"/>
  <c r="BU176" i="12"/>
  <c r="BV176" i="12" s="1"/>
  <c r="C96" i="19" s="1"/>
  <c r="BN178" i="12"/>
  <c r="D97" i="18" s="1"/>
  <c r="BM119" i="12"/>
  <c r="BN119" i="12" s="1"/>
  <c r="G96" i="17" s="1"/>
  <c r="BL117" i="12"/>
  <c r="F94" i="17" s="1"/>
  <c r="BO154" i="12"/>
  <c r="BP154" i="12" s="1"/>
  <c r="E73" i="18" s="1"/>
  <c r="BA92" i="12"/>
  <c r="BB92" i="12" s="1"/>
  <c r="C69" i="17" s="1"/>
  <c r="CA155" i="12"/>
  <c r="CB155" i="12" s="1"/>
  <c r="E75" i="19" s="1"/>
  <c r="CA174" i="12"/>
  <c r="CB174" i="12" s="1"/>
  <c r="E94" i="19" s="1"/>
  <c r="BA98" i="12"/>
  <c r="BB98" i="12" s="1"/>
  <c r="C75" i="17" s="1"/>
  <c r="B80" i="13"/>
  <c r="B81" i="13" s="1"/>
  <c r="B82" i="13" s="1"/>
  <c r="B83" i="13" s="1"/>
  <c r="B150" i="13"/>
  <c r="A78" i="13"/>
  <c r="D142" i="13" s="1"/>
  <c r="D143" i="13" s="1"/>
  <c r="A142" i="13" s="1"/>
  <c r="B142" i="12"/>
  <c r="D144" i="12"/>
  <c r="D145" i="12" s="1"/>
  <c r="D146" i="12" s="1"/>
  <c r="E64" i="18"/>
  <c r="G68" i="18"/>
  <c r="I69" i="17"/>
  <c r="G69" i="19"/>
  <c r="B102" i="17"/>
  <c r="B119" i="17" s="1"/>
  <c r="C118" i="17"/>
  <c r="C119" i="17" s="1"/>
  <c r="D102" i="17"/>
  <c r="E119" i="17" s="1"/>
  <c r="AN145" i="12"/>
  <c r="B8" i="19" s="1"/>
  <c r="U145" i="12"/>
  <c r="B7" i="18" s="1"/>
  <c r="AX145" i="12"/>
  <c r="AY145" i="12" s="1"/>
  <c r="AE145" i="12"/>
  <c r="D7" i="18" s="1"/>
  <c r="AF145" i="12"/>
  <c r="AG145" i="12" s="1"/>
  <c r="V145" i="12"/>
  <c r="W145" i="12" s="1"/>
  <c r="X145" i="12" s="1"/>
  <c r="AE88" i="12"/>
  <c r="V88" i="12"/>
  <c r="W88" i="12" s="1"/>
  <c r="X88" i="12" s="1"/>
  <c r="AO145" i="12"/>
  <c r="AP145" i="12" s="1"/>
  <c r="AQ145" i="12" s="1"/>
  <c r="AW145" i="12"/>
  <c r="D8" i="19" s="1"/>
  <c r="AN88" i="12"/>
  <c r="U88" i="12"/>
  <c r="B7" i="17" s="1"/>
  <c r="R65" i="17" s="1"/>
  <c r="AW156" i="12"/>
  <c r="D19" i="19" s="1"/>
  <c r="V156" i="12"/>
  <c r="W156" i="12" s="1"/>
  <c r="AX156" i="12"/>
  <c r="AY156" i="12" s="1"/>
  <c r="AN156" i="12"/>
  <c r="B19" i="19" s="1"/>
  <c r="U156" i="12"/>
  <c r="B18" i="18" s="1"/>
  <c r="AE156" i="12"/>
  <c r="D18" i="18" s="1"/>
  <c r="AE99" i="12"/>
  <c r="U99" i="12"/>
  <c r="B18" i="17" s="1"/>
  <c r="R76" i="17" s="1"/>
  <c r="AF156" i="12"/>
  <c r="AG156" i="12" s="1"/>
  <c r="AN99" i="12"/>
  <c r="V99" i="12"/>
  <c r="W99" i="12" s="1"/>
  <c r="AO156" i="12"/>
  <c r="AP156" i="12" s="1"/>
  <c r="AX161" i="12"/>
  <c r="AY161" i="12" s="1"/>
  <c r="AZ161" i="12" s="1"/>
  <c r="AN161" i="12"/>
  <c r="B24" i="19" s="1"/>
  <c r="AE161" i="12"/>
  <c r="D23" i="18" s="1"/>
  <c r="V161" i="12"/>
  <c r="W161" i="12" s="1"/>
  <c r="X161" i="12" s="1"/>
  <c r="AO161" i="12"/>
  <c r="AP161" i="12" s="1"/>
  <c r="AQ161" i="12" s="1"/>
  <c r="U104" i="12"/>
  <c r="B23" i="17" s="1"/>
  <c r="R81" i="17" s="1"/>
  <c r="AW161" i="12"/>
  <c r="D24" i="19" s="1"/>
  <c r="AF161" i="12"/>
  <c r="AG161" i="12" s="1"/>
  <c r="AH161" i="12" s="1"/>
  <c r="AN104" i="12"/>
  <c r="AE104" i="12"/>
  <c r="V104" i="12"/>
  <c r="W104" i="12" s="1"/>
  <c r="U161" i="12"/>
  <c r="B23" i="18" s="1"/>
  <c r="AX176" i="12"/>
  <c r="AY176" i="12" s="1"/>
  <c r="AZ176" i="12" s="1"/>
  <c r="AN176" i="12"/>
  <c r="B39" i="19" s="1"/>
  <c r="AO176" i="12"/>
  <c r="AP176" i="12" s="1"/>
  <c r="AQ176" i="12" s="1"/>
  <c r="AE176" i="12"/>
  <c r="D38" i="18" s="1"/>
  <c r="AF176" i="12"/>
  <c r="AG176" i="12" s="1"/>
  <c r="AH176" i="12" s="1"/>
  <c r="AW176" i="12"/>
  <c r="D39" i="19" s="1"/>
  <c r="U176" i="12"/>
  <c r="B38" i="18" s="1"/>
  <c r="AE119" i="12"/>
  <c r="U119" i="12"/>
  <c r="V176" i="12"/>
  <c r="W176" i="12" s="1"/>
  <c r="X176" i="12" s="1"/>
  <c r="AN119" i="12"/>
  <c r="V119" i="12"/>
  <c r="W119" i="12" s="1"/>
  <c r="X119" i="12" s="1"/>
  <c r="AX169" i="12"/>
  <c r="AY169" i="12" s="1"/>
  <c r="AZ169" i="12" s="1"/>
  <c r="AN169" i="12"/>
  <c r="B32" i="19" s="1"/>
  <c r="AO169" i="12"/>
  <c r="AP169" i="12" s="1"/>
  <c r="AQ169" i="12" s="1"/>
  <c r="V169" i="12"/>
  <c r="W169" i="12" s="1"/>
  <c r="X169" i="12" s="1"/>
  <c r="U169" i="12"/>
  <c r="B31" i="18" s="1"/>
  <c r="AW169" i="12"/>
  <c r="D32" i="19" s="1"/>
  <c r="AE169" i="12"/>
  <c r="D31" i="18" s="1"/>
  <c r="AF169" i="12"/>
  <c r="AG169" i="12" s="1"/>
  <c r="AH169" i="12" s="1"/>
  <c r="AE112" i="12"/>
  <c r="AN112" i="12"/>
  <c r="U112" i="12"/>
  <c r="B31" i="17" s="1"/>
  <c r="R89" i="17" s="1"/>
  <c r="V112" i="12"/>
  <c r="W112" i="12" s="1"/>
  <c r="AX164" i="12"/>
  <c r="AY164" i="12" s="1"/>
  <c r="AO164" i="12"/>
  <c r="AP164" i="12" s="1"/>
  <c r="AF164" i="12"/>
  <c r="AG164" i="12" s="1"/>
  <c r="V164" i="12"/>
  <c r="W164" i="12" s="1"/>
  <c r="U164" i="12"/>
  <c r="B26" i="18" s="1"/>
  <c r="AW164" i="12"/>
  <c r="D27" i="19" s="1"/>
  <c r="AE164" i="12"/>
  <c r="D26" i="18" s="1"/>
  <c r="AN164" i="12"/>
  <c r="B27" i="19" s="1"/>
  <c r="AN107" i="12"/>
  <c r="AE107" i="12"/>
  <c r="V107" i="12"/>
  <c r="W107" i="12" s="1"/>
  <c r="U107" i="12"/>
  <c r="B26" i="17" s="1"/>
  <c r="R84" i="17" s="1"/>
  <c r="AW172" i="12"/>
  <c r="D35" i="19" s="1"/>
  <c r="AN172" i="12"/>
  <c r="B35" i="19" s="1"/>
  <c r="AE172" i="12"/>
  <c r="D34" i="18" s="1"/>
  <c r="U172" i="12"/>
  <c r="B34" i="18" s="1"/>
  <c r="AO172" i="12"/>
  <c r="AP172" i="12" s="1"/>
  <c r="AQ172" i="12" s="1"/>
  <c r="AF172" i="12"/>
  <c r="AG172" i="12" s="1"/>
  <c r="AH172" i="12" s="1"/>
  <c r="AE115" i="12"/>
  <c r="V115" i="12"/>
  <c r="W115" i="12" s="1"/>
  <c r="AN115" i="12"/>
  <c r="V172" i="12"/>
  <c r="W172" i="12" s="1"/>
  <c r="X172" i="12" s="1"/>
  <c r="U115" i="12"/>
  <c r="B34" i="17" s="1"/>
  <c r="R92" i="17" s="1"/>
  <c r="AX172" i="12"/>
  <c r="AY172" i="12" s="1"/>
  <c r="AZ172" i="12" s="1"/>
  <c r="AO153" i="12"/>
  <c r="AP153" i="12" s="1"/>
  <c r="AQ153" i="12" s="1"/>
  <c r="AF153" i="12"/>
  <c r="AG153" i="12" s="1"/>
  <c r="AH153" i="12" s="1"/>
  <c r="U153" i="12"/>
  <c r="B15" i="18" s="1"/>
  <c r="V153" i="12"/>
  <c r="W153" i="12" s="1"/>
  <c r="X153" i="12" s="1"/>
  <c r="AX153" i="12"/>
  <c r="AY153" i="12" s="1"/>
  <c r="AZ153" i="12" s="1"/>
  <c r="AE153" i="12"/>
  <c r="D15" i="18" s="1"/>
  <c r="AE96" i="12"/>
  <c r="AN153" i="12"/>
  <c r="B16" i="19" s="1"/>
  <c r="V96" i="12"/>
  <c r="W96" i="12" s="1"/>
  <c r="X96" i="12" s="1"/>
  <c r="U96" i="12"/>
  <c r="B15" i="17" s="1"/>
  <c r="R73" i="17" s="1"/>
  <c r="AW153" i="12"/>
  <c r="D16" i="19" s="1"/>
  <c r="AN96" i="12"/>
  <c r="AW149" i="12"/>
  <c r="D12" i="19" s="1"/>
  <c r="AN149" i="12"/>
  <c r="B12" i="19" s="1"/>
  <c r="AX149" i="12"/>
  <c r="AY149" i="12" s="1"/>
  <c r="AZ149" i="12" s="1"/>
  <c r="AO149" i="12"/>
  <c r="AP149" i="12" s="1"/>
  <c r="AQ149" i="12" s="1"/>
  <c r="AE149" i="12"/>
  <c r="D11" i="18" s="1"/>
  <c r="U149" i="12"/>
  <c r="B11" i="18" s="1"/>
  <c r="V149" i="12"/>
  <c r="W149" i="12" s="1"/>
  <c r="X149" i="12" s="1"/>
  <c r="AN92" i="12"/>
  <c r="AE92" i="12"/>
  <c r="U92" i="12"/>
  <c r="B11" i="17" s="1"/>
  <c r="R69" i="17" s="1"/>
  <c r="V92" i="12"/>
  <c r="W92" i="12" s="1"/>
  <c r="AF149" i="12"/>
  <c r="AG149" i="12" s="1"/>
  <c r="AH149" i="12" s="1"/>
  <c r="AN163" i="12"/>
  <c r="B26" i="19" s="1"/>
  <c r="AE163" i="12"/>
  <c r="D25" i="18" s="1"/>
  <c r="AO163" i="12"/>
  <c r="AP163" i="12" s="1"/>
  <c r="AQ163" i="12" s="1"/>
  <c r="AF163" i="12"/>
  <c r="AG163" i="12" s="1"/>
  <c r="AH163" i="12" s="1"/>
  <c r="AX163" i="12"/>
  <c r="AY163" i="12" s="1"/>
  <c r="AZ163" i="12" s="1"/>
  <c r="V163" i="12"/>
  <c r="W163" i="12" s="1"/>
  <c r="X163" i="12" s="1"/>
  <c r="AE106" i="12"/>
  <c r="U106" i="12"/>
  <c r="B25" i="17" s="1"/>
  <c r="R83" i="17" s="1"/>
  <c r="AW163" i="12"/>
  <c r="D26" i="19" s="1"/>
  <c r="U163" i="12"/>
  <c r="B25" i="18" s="1"/>
  <c r="AN106" i="12"/>
  <c r="V106" i="12"/>
  <c r="W106" i="12" s="1"/>
  <c r="X106" i="12" s="1"/>
  <c r="AX182" i="12"/>
  <c r="AY182" i="12" s="1"/>
  <c r="AZ182" i="12" s="1"/>
  <c r="AO182" i="12"/>
  <c r="AP182" i="12" s="1"/>
  <c r="AQ182" i="12" s="1"/>
  <c r="AF182" i="12"/>
  <c r="AG182" i="12" s="1"/>
  <c r="AH182" i="12" s="1"/>
  <c r="V182" i="12"/>
  <c r="W182" i="12" s="1"/>
  <c r="X182" i="12" s="1"/>
  <c r="AW182" i="12"/>
  <c r="D45" i="19" s="1"/>
  <c r="AE182" i="12"/>
  <c r="U182" i="12"/>
  <c r="V125" i="12"/>
  <c r="W125" i="12" s="1"/>
  <c r="X125" i="12" s="1"/>
  <c r="AE125" i="12"/>
  <c r="AF125" i="12" s="1"/>
  <c r="AG125" i="12" s="1"/>
  <c r="AH125" i="12" s="1"/>
  <c r="AN182" i="12"/>
  <c r="B45" i="19" s="1"/>
  <c r="AN125" i="12"/>
  <c r="AO125" i="12" s="1"/>
  <c r="AP125" i="12" s="1"/>
  <c r="AQ125" i="12" s="1"/>
  <c r="U125" i="12"/>
  <c r="AW154" i="12"/>
  <c r="D17" i="19" s="1"/>
  <c r="AN154" i="12"/>
  <c r="B17" i="19" s="1"/>
  <c r="AE154" i="12"/>
  <c r="D16" i="18" s="1"/>
  <c r="U154" i="12"/>
  <c r="B16" i="18" s="1"/>
  <c r="AX154" i="12"/>
  <c r="AY154" i="12" s="1"/>
  <c r="AO154" i="12"/>
  <c r="AP154" i="12" s="1"/>
  <c r="AF154" i="12"/>
  <c r="AG154" i="12" s="1"/>
  <c r="V154" i="12"/>
  <c r="W154" i="12" s="1"/>
  <c r="V97" i="12"/>
  <c r="W97" i="12" s="1"/>
  <c r="X97" i="12" s="1"/>
  <c r="AE97" i="12"/>
  <c r="AN97" i="12"/>
  <c r="U97" i="12"/>
  <c r="B16" i="17" s="1"/>
  <c r="R74" i="17" s="1"/>
  <c r="AX165" i="12"/>
  <c r="AY165" i="12" s="1"/>
  <c r="AZ165" i="12" s="1"/>
  <c r="AO165" i="12"/>
  <c r="AP165" i="12" s="1"/>
  <c r="AQ165" i="12" s="1"/>
  <c r="AE165" i="12"/>
  <c r="D27" i="18" s="1"/>
  <c r="U165" i="12"/>
  <c r="B27" i="18" s="1"/>
  <c r="AF165" i="12"/>
  <c r="AG165" i="12" s="1"/>
  <c r="AH165" i="12" s="1"/>
  <c r="AN165" i="12"/>
  <c r="B28" i="19" s="1"/>
  <c r="AW165" i="12"/>
  <c r="D28" i="19" s="1"/>
  <c r="V165" i="12"/>
  <c r="W165" i="12" s="1"/>
  <c r="X165" i="12" s="1"/>
  <c r="AN108" i="12"/>
  <c r="V108" i="12"/>
  <c r="W108" i="12" s="1"/>
  <c r="U108" i="12"/>
  <c r="B27" i="17" s="1"/>
  <c r="R85" i="17" s="1"/>
  <c r="AE108" i="12"/>
  <c r="AW186" i="12"/>
  <c r="D49" i="19" s="1"/>
  <c r="AN186" i="12"/>
  <c r="B49" i="19" s="1"/>
  <c r="AE186" i="12"/>
  <c r="U186" i="12"/>
  <c r="AX186" i="12"/>
  <c r="AY186" i="12" s="1"/>
  <c r="AZ186" i="12" s="1"/>
  <c r="AO186" i="12"/>
  <c r="AP186" i="12" s="1"/>
  <c r="AQ186" i="12" s="1"/>
  <c r="V186" i="12"/>
  <c r="W186" i="12" s="1"/>
  <c r="X186" i="12" s="1"/>
  <c r="AF186" i="12"/>
  <c r="AG186" i="12" s="1"/>
  <c r="AH186" i="12" s="1"/>
  <c r="V129" i="12"/>
  <c r="W129" i="12" s="1"/>
  <c r="X129" i="12" s="1"/>
  <c r="AE129" i="12"/>
  <c r="AF129" i="12" s="1"/>
  <c r="AG129" i="12" s="1"/>
  <c r="AH129" i="12" s="1"/>
  <c r="U129" i="12"/>
  <c r="AN129" i="12"/>
  <c r="AO129" i="12" s="1"/>
  <c r="AP129" i="12" s="1"/>
  <c r="AQ129" i="12" s="1"/>
  <c r="AW179" i="12"/>
  <c r="D42" i="19" s="1"/>
  <c r="AN179" i="12"/>
  <c r="B42" i="19" s="1"/>
  <c r="AE179" i="12"/>
  <c r="D41" i="18" s="1"/>
  <c r="U179" i="12"/>
  <c r="B41" i="18" s="1"/>
  <c r="AO179" i="12"/>
  <c r="AP179" i="12" s="1"/>
  <c r="AQ179" i="12" s="1"/>
  <c r="V179" i="12"/>
  <c r="W179" i="12" s="1"/>
  <c r="X179" i="12" s="1"/>
  <c r="AF179" i="12"/>
  <c r="AG179" i="12" s="1"/>
  <c r="AH179" i="12" s="1"/>
  <c r="AX179" i="12"/>
  <c r="AY179" i="12" s="1"/>
  <c r="AZ179" i="12" s="1"/>
  <c r="AE122" i="12"/>
  <c r="AF122" i="12" s="1"/>
  <c r="AG122" i="12" s="1"/>
  <c r="AH122" i="12" s="1"/>
  <c r="U122" i="12"/>
  <c r="V122" i="12"/>
  <c r="W122" i="12" s="1"/>
  <c r="X122" i="12" s="1"/>
  <c r="AN122" i="12"/>
  <c r="AO122" i="12" s="1"/>
  <c r="AP122" i="12" s="1"/>
  <c r="AQ122" i="12" s="1"/>
  <c r="AX152" i="12"/>
  <c r="AY152" i="12" s="1"/>
  <c r="AO152" i="12"/>
  <c r="AP152" i="12" s="1"/>
  <c r="AF152" i="12"/>
  <c r="AG152" i="12" s="1"/>
  <c r="V152" i="12"/>
  <c r="W152" i="12" s="1"/>
  <c r="AN152" i="12"/>
  <c r="B15" i="19" s="1"/>
  <c r="U152" i="12"/>
  <c r="B14" i="18" s="1"/>
  <c r="AN95" i="12"/>
  <c r="AE152" i="12"/>
  <c r="D14" i="18" s="1"/>
  <c r="V95" i="12"/>
  <c r="W95" i="12" s="1"/>
  <c r="U95" i="12"/>
  <c r="B14" i="17" s="1"/>
  <c r="R72" i="17" s="1"/>
  <c r="AE95" i="12"/>
  <c r="AW152" i="12"/>
  <c r="D15" i="19" s="1"/>
  <c r="AW160" i="12"/>
  <c r="D23" i="19" s="1"/>
  <c r="AN160" i="12"/>
  <c r="B23" i="19" s="1"/>
  <c r="AE160" i="12"/>
  <c r="D22" i="18" s="1"/>
  <c r="U160" i="12"/>
  <c r="B22" i="18" s="1"/>
  <c r="AO160" i="12"/>
  <c r="AP160" i="12" s="1"/>
  <c r="AF160" i="12"/>
  <c r="AG160" i="12" s="1"/>
  <c r="AX160" i="12"/>
  <c r="AY160" i="12" s="1"/>
  <c r="U103" i="12"/>
  <c r="B22" i="17" s="1"/>
  <c r="R80" i="17" s="1"/>
  <c r="V160" i="12"/>
  <c r="W160" i="12" s="1"/>
  <c r="V103" i="12"/>
  <c r="W103" i="12" s="1"/>
  <c r="AE103" i="12"/>
  <c r="AN103" i="12"/>
  <c r="AX148" i="12"/>
  <c r="AY148" i="12" s="1"/>
  <c r="AO148" i="12"/>
  <c r="AP148" i="12" s="1"/>
  <c r="AF148" i="12"/>
  <c r="AG148" i="12" s="1"/>
  <c r="V148" i="12"/>
  <c r="W148" i="12" s="1"/>
  <c r="AE148" i="12"/>
  <c r="D10" i="18" s="1"/>
  <c r="U148" i="12"/>
  <c r="B10" i="18" s="1"/>
  <c r="AW148" i="12"/>
  <c r="D11" i="19" s="1"/>
  <c r="V91" i="12"/>
  <c r="W91" i="12" s="1"/>
  <c r="X91" i="12" s="1"/>
  <c r="AN148" i="12"/>
  <c r="B11" i="19" s="1"/>
  <c r="AE91" i="12"/>
  <c r="AN91" i="12"/>
  <c r="U91" i="12"/>
  <c r="B10" i="17" s="1"/>
  <c r="R68" i="17" s="1"/>
  <c r="AW187" i="12"/>
  <c r="D50" i="19" s="1"/>
  <c r="V187" i="12"/>
  <c r="W187" i="12" s="1"/>
  <c r="X187" i="12" s="1"/>
  <c r="AE187" i="12"/>
  <c r="AX187" i="12"/>
  <c r="AY187" i="12" s="1"/>
  <c r="AZ187" i="12" s="1"/>
  <c r="AF187" i="12"/>
  <c r="AG187" i="12" s="1"/>
  <c r="AH187" i="12" s="1"/>
  <c r="AO187" i="12"/>
  <c r="AP187" i="12" s="1"/>
  <c r="AQ187" i="12" s="1"/>
  <c r="U187" i="12"/>
  <c r="V130" i="12"/>
  <c r="W130" i="12" s="1"/>
  <c r="X130" i="12" s="1"/>
  <c r="AN187" i="12"/>
  <c r="B50" i="19" s="1"/>
  <c r="AN130" i="12"/>
  <c r="AO130" i="12" s="1"/>
  <c r="AP130" i="12" s="1"/>
  <c r="AQ130" i="12" s="1"/>
  <c r="U130" i="12"/>
  <c r="AE130" i="12"/>
  <c r="AF130" i="12" s="1"/>
  <c r="AG130" i="12" s="1"/>
  <c r="AH130" i="12" s="1"/>
  <c r="AX147" i="12"/>
  <c r="AY147" i="12" s="1"/>
  <c r="AZ147" i="12" s="1"/>
  <c r="V147" i="12"/>
  <c r="W147" i="12" s="1"/>
  <c r="X147" i="12" s="1"/>
  <c r="AN147" i="12"/>
  <c r="B10" i="19" s="1"/>
  <c r="AE147" i="12"/>
  <c r="D9" i="18" s="1"/>
  <c r="AO147" i="12"/>
  <c r="AP147" i="12" s="1"/>
  <c r="AQ147" i="12" s="1"/>
  <c r="U90" i="12"/>
  <c r="B9" i="17" s="1"/>
  <c r="R67" i="17" s="1"/>
  <c r="AW147" i="12"/>
  <c r="D10" i="19" s="1"/>
  <c r="U147" i="12"/>
  <c r="B9" i="18" s="1"/>
  <c r="AE90" i="12"/>
  <c r="AN90" i="12"/>
  <c r="V90" i="12"/>
  <c r="W90" i="12" s="1"/>
  <c r="AF147" i="12"/>
  <c r="AG147" i="12" s="1"/>
  <c r="AH147" i="12" s="1"/>
  <c r="AW191" i="12"/>
  <c r="D54" i="19" s="1"/>
  <c r="AN191" i="12"/>
  <c r="B54" i="19" s="1"/>
  <c r="AE191" i="12"/>
  <c r="U191" i="12"/>
  <c r="AX191" i="12"/>
  <c r="AY191" i="12" s="1"/>
  <c r="AZ191" i="12" s="1"/>
  <c r="AO191" i="12"/>
  <c r="AP191" i="12" s="1"/>
  <c r="AQ191" i="12" s="1"/>
  <c r="AF191" i="12"/>
  <c r="AG191" i="12" s="1"/>
  <c r="AH191" i="12" s="1"/>
  <c r="V191" i="12"/>
  <c r="W191" i="12" s="1"/>
  <c r="X191" i="12" s="1"/>
  <c r="AN134" i="12"/>
  <c r="AO134" i="12" s="1"/>
  <c r="AP134" i="12" s="1"/>
  <c r="AE134" i="12"/>
  <c r="AF134" i="12" s="1"/>
  <c r="AG134" i="12" s="1"/>
  <c r="U134" i="12"/>
  <c r="V134" i="12"/>
  <c r="W134" i="12" s="1"/>
  <c r="AW166" i="12"/>
  <c r="D29" i="19" s="1"/>
  <c r="AN166" i="12"/>
  <c r="B29" i="19" s="1"/>
  <c r="AE166" i="12"/>
  <c r="D28" i="18" s="1"/>
  <c r="U166" i="12"/>
  <c r="B28" i="18" s="1"/>
  <c r="AX166" i="12"/>
  <c r="AY166" i="12" s="1"/>
  <c r="AO166" i="12"/>
  <c r="AP166" i="12" s="1"/>
  <c r="V166" i="12"/>
  <c r="W166" i="12" s="1"/>
  <c r="AF166" i="12"/>
  <c r="AG166" i="12" s="1"/>
  <c r="AN109" i="12"/>
  <c r="V109" i="12"/>
  <c r="W109" i="12" s="1"/>
  <c r="X109" i="12" s="1"/>
  <c r="U109" i="12"/>
  <c r="B28" i="17" s="1"/>
  <c r="R86" i="17" s="1"/>
  <c r="AE109" i="12"/>
  <c r="AX151" i="12"/>
  <c r="AY151" i="12" s="1"/>
  <c r="AZ151" i="12" s="1"/>
  <c r="AF151" i="12"/>
  <c r="AG151" i="12" s="1"/>
  <c r="AH151" i="12" s="1"/>
  <c r="AW151" i="12"/>
  <c r="D14" i="19" s="1"/>
  <c r="AE151" i="12"/>
  <c r="D13" i="18" s="1"/>
  <c r="AN151" i="12"/>
  <c r="B14" i="19" s="1"/>
  <c r="U151" i="12"/>
  <c r="B13" i="18" s="1"/>
  <c r="V94" i="12"/>
  <c r="W94" i="12" s="1"/>
  <c r="X94" i="12" s="1"/>
  <c r="V151" i="12"/>
  <c r="W151" i="12" s="1"/>
  <c r="X151" i="12" s="1"/>
  <c r="AE94" i="12"/>
  <c r="AO151" i="12"/>
  <c r="AP151" i="12" s="1"/>
  <c r="AQ151" i="12" s="1"/>
  <c r="AN94" i="12"/>
  <c r="U94" i="12"/>
  <c r="B13" i="17" s="1"/>
  <c r="R71" i="17" s="1"/>
  <c r="AF170" i="12"/>
  <c r="AG170" i="12" s="1"/>
  <c r="AH170" i="12" s="1"/>
  <c r="U170" i="12"/>
  <c r="B32" i="18" s="1"/>
  <c r="AX170" i="12"/>
  <c r="AY170" i="12" s="1"/>
  <c r="AZ170" i="12" s="1"/>
  <c r="AN170" i="12"/>
  <c r="B33" i="19" s="1"/>
  <c r="V170" i="12"/>
  <c r="W170" i="12" s="1"/>
  <c r="X170" i="12" s="1"/>
  <c r="AW170" i="12"/>
  <c r="D33" i="19" s="1"/>
  <c r="U113" i="12"/>
  <c r="B32" i="17" s="1"/>
  <c r="R90" i="17" s="1"/>
  <c r="AN113" i="12"/>
  <c r="V113" i="12"/>
  <c r="W113" i="12" s="1"/>
  <c r="X113" i="12" s="1"/>
  <c r="AE113" i="12"/>
  <c r="AO170" i="12"/>
  <c r="AP170" i="12" s="1"/>
  <c r="AQ170" i="12" s="1"/>
  <c r="AE170" i="12"/>
  <c r="D32" i="18" s="1"/>
  <c r="AW178" i="12"/>
  <c r="D41" i="19" s="1"/>
  <c r="V178" i="12"/>
  <c r="W178" i="12" s="1"/>
  <c r="X178" i="12" s="1"/>
  <c r="AX178" i="12"/>
  <c r="AY178" i="12" s="1"/>
  <c r="AZ178" i="12" s="1"/>
  <c r="AN178" i="12"/>
  <c r="B41" i="19" s="1"/>
  <c r="AO178" i="12"/>
  <c r="AP178" i="12" s="1"/>
  <c r="AQ178" i="12" s="1"/>
  <c r="U178" i="12"/>
  <c r="B40" i="18" s="1"/>
  <c r="AE178" i="12"/>
  <c r="D40" i="18" s="1"/>
  <c r="V121" i="12"/>
  <c r="W121" i="12" s="1"/>
  <c r="X121" i="12" s="1"/>
  <c r="U121" i="12"/>
  <c r="AN121" i="12"/>
  <c r="AO121" i="12" s="1"/>
  <c r="AP121" i="12" s="1"/>
  <c r="AQ121" i="12" s="1"/>
  <c r="AE121" i="12"/>
  <c r="AF121" i="12" s="1"/>
  <c r="AG121" i="12" s="1"/>
  <c r="AH121" i="12" s="1"/>
  <c r="AF178" i="12"/>
  <c r="AG178" i="12" s="1"/>
  <c r="AH178" i="12" s="1"/>
  <c r="AX158" i="12"/>
  <c r="AY158" i="12" s="1"/>
  <c r="AN158" i="12"/>
  <c r="B21" i="19" s="1"/>
  <c r="AO158" i="12"/>
  <c r="AP158" i="12" s="1"/>
  <c r="AE158" i="12"/>
  <c r="D20" i="18" s="1"/>
  <c r="U158" i="12"/>
  <c r="B20" i="18" s="1"/>
  <c r="AW158" i="12"/>
  <c r="D21" i="19" s="1"/>
  <c r="V158" i="12"/>
  <c r="W158" i="12" s="1"/>
  <c r="U101" i="12"/>
  <c r="B20" i="17" s="1"/>
  <c r="R78" i="17" s="1"/>
  <c r="AE101" i="12"/>
  <c r="AF158" i="12"/>
  <c r="AG158" i="12" s="1"/>
  <c r="AN101" i="12"/>
  <c r="V101" i="12"/>
  <c r="W101" i="12" s="1"/>
  <c r="AW190" i="12"/>
  <c r="D53" i="19" s="1"/>
  <c r="V190" i="12"/>
  <c r="W190" i="12" s="1"/>
  <c r="X190" i="12" s="1"/>
  <c r="AX190" i="12"/>
  <c r="AY190" i="12" s="1"/>
  <c r="AZ190" i="12" s="1"/>
  <c r="AN190" i="12"/>
  <c r="B53" i="19" s="1"/>
  <c r="U190" i="12"/>
  <c r="AE190" i="12"/>
  <c r="AO190" i="12"/>
  <c r="AP190" i="12" s="1"/>
  <c r="AQ190" i="12" s="1"/>
  <c r="AN133" i="12"/>
  <c r="AO133" i="12" s="1"/>
  <c r="AP133" i="12" s="1"/>
  <c r="AQ133" i="12" s="1"/>
  <c r="V133" i="12"/>
  <c r="W133" i="12" s="1"/>
  <c r="X133" i="12" s="1"/>
  <c r="AE133" i="12"/>
  <c r="AF133" i="12" s="1"/>
  <c r="AG133" i="12" s="1"/>
  <c r="AH133" i="12" s="1"/>
  <c r="AF190" i="12"/>
  <c r="AG190" i="12" s="1"/>
  <c r="AH190" i="12" s="1"/>
  <c r="U133" i="12"/>
  <c r="AF175" i="12"/>
  <c r="AG175" i="12" s="1"/>
  <c r="AH175" i="12" s="1"/>
  <c r="U175" i="12"/>
  <c r="B37" i="18" s="1"/>
  <c r="AW175" i="12"/>
  <c r="D38" i="19" s="1"/>
  <c r="V175" i="12"/>
  <c r="W175" i="12" s="1"/>
  <c r="X175" i="12" s="1"/>
  <c r="AX175" i="12"/>
  <c r="AY175" i="12" s="1"/>
  <c r="AZ175" i="12" s="1"/>
  <c r="AE175" i="12"/>
  <c r="D37" i="18" s="1"/>
  <c r="AN175" i="12"/>
  <c r="B38" i="19" s="1"/>
  <c r="AN118" i="12"/>
  <c r="AE118" i="12"/>
  <c r="U118" i="12"/>
  <c r="V118" i="12"/>
  <c r="W118" i="12" s="1"/>
  <c r="AO175" i="12"/>
  <c r="AP175" i="12" s="1"/>
  <c r="AQ175" i="12" s="1"/>
  <c r="AW150" i="12"/>
  <c r="D13" i="19" s="1"/>
  <c r="AN150" i="12"/>
  <c r="B13" i="19" s="1"/>
  <c r="AE150" i="12"/>
  <c r="D12" i="18" s="1"/>
  <c r="U150" i="12"/>
  <c r="B12" i="18" s="1"/>
  <c r="AX150" i="12"/>
  <c r="AY150" i="12" s="1"/>
  <c r="AF150" i="12"/>
  <c r="AG150" i="12" s="1"/>
  <c r="AN93" i="12"/>
  <c r="V150" i="12"/>
  <c r="W150" i="12" s="1"/>
  <c r="U93" i="12"/>
  <c r="B12" i="17" s="1"/>
  <c r="R70" i="17" s="1"/>
  <c r="AE93" i="12"/>
  <c r="AO150" i="12"/>
  <c r="AP150" i="12" s="1"/>
  <c r="V93" i="12"/>
  <c r="W93" i="12" s="1"/>
  <c r="X93" i="12" s="1"/>
  <c r="AF167" i="12"/>
  <c r="AG167" i="12" s="1"/>
  <c r="AH167" i="12" s="1"/>
  <c r="AO167" i="12"/>
  <c r="AP167" i="12" s="1"/>
  <c r="AQ167" i="12" s="1"/>
  <c r="U167" i="12"/>
  <c r="B29" i="18" s="1"/>
  <c r="AN167" i="12"/>
  <c r="B30" i="19" s="1"/>
  <c r="V167" i="12"/>
  <c r="W167" i="12" s="1"/>
  <c r="X167" i="12" s="1"/>
  <c r="AE167" i="12"/>
  <c r="D29" i="18" s="1"/>
  <c r="AW167" i="12"/>
  <c r="D30" i="19" s="1"/>
  <c r="V110" i="12"/>
  <c r="W110" i="12" s="1"/>
  <c r="X110" i="12" s="1"/>
  <c r="AX167" i="12"/>
  <c r="AY167" i="12" s="1"/>
  <c r="AZ167" i="12" s="1"/>
  <c r="AE110" i="12"/>
  <c r="AN110" i="12"/>
  <c r="U110" i="12"/>
  <c r="B29" i="17" s="1"/>
  <c r="R87" i="17" s="1"/>
  <c r="AW192" i="12"/>
  <c r="D55" i="19" s="1"/>
  <c r="AN192" i="12"/>
  <c r="B55" i="19" s="1"/>
  <c r="AE192" i="12"/>
  <c r="U192" i="12"/>
  <c r="AX192" i="12"/>
  <c r="AY192" i="12" s="1"/>
  <c r="AZ192" i="12" s="1"/>
  <c r="AF192" i="12"/>
  <c r="AG192" i="12" s="1"/>
  <c r="AH192" i="12" s="1"/>
  <c r="AO192" i="12"/>
  <c r="AP192" i="12" s="1"/>
  <c r="AQ192" i="12" s="1"/>
  <c r="AN135" i="12"/>
  <c r="AO135" i="12" s="1"/>
  <c r="AP135" i="12" s="1"/>
  <c r="AQ135" i="12" s="1"/>
  <c r="AE135" i="12"/>
  <c r="AF135" i="12" s="1"/>
  <c r="AG135" i="12" s="1"/>
  <c r="AH135" i="12" s="1"/>
  <c r="U135" i="12"/>
  <c r="V192" i="12"/>
  <c r="W192" i="12" s="1"/>
  <c r="X192" i="12" s="1"/>
  <c r="V135" i="12"/>
  <c r="W135" i="12" s="1"/>
  <c r="X135" i="12" s="1"/>
  <c r="AF181" i="12"/>
  <c r="AG181" i="12" s="1"/>
  <c r="AH181" i="12" s="1"/>
  <c r="U181" i="12"/>
  <c r="AW181" i="12"/>
  <c r="D44" i="19" s="1"/>
  <c r="V181" i="12"/>
  <c r="W181" i="12" s="1"/>
  <c r="X181" i="12" s="1"/>
  <c r="AE181" i="12"/>
  <c r="AN181" i="12"/>
  <c r="B44" i="19" s="1"/>
  <c r="AO181" i="12"/>
  <c r="AP181" i="12" s="1"/>
  <c r="AQ181" i="12" s="1"/>
  <c r="AX181" i="12"/>
  <c r="AY181" i="12" s="1"/>
  <c r="AZ181" i="12" s="1"/>
  <c r="AN124" i="12"/>
  <c r="AO124" i="12" s="1"/>
  <c r="AP124" i="12" s="1"/>
  <c r="AE124" i="12"/>
  <c r="AF124" i="12" s="1"/>
  <c r="AG124" i="12" s="1"/>
  <c r="U124" i="12"/>
  <c r="V124" i="12"/>
  <c r="W124" i="12" s="1"/>
  <c r="AX185" i="12"/>
  <c r="AY185" i="12" s="1"/>
  <c r="AZ185" i="12" s="1"/>
  <c r="AO185" i="12"/>
  <c r="AP185" i="12" s="1"/>
  <c r="AQ185" i="12" s="1"/>
  <c r="AF185" i="12"/>
  <c r="AG185" i="12" s="1"/>
  <c r="AH185" i="12" s="1"/>
  <c r="V185" i="12"/>
  <c r="W185" i="12" s="1"/>
  <c r="X185" i="12" s="1"/>
  <c r="AE185" i="12"/>
  <c r="U185" i="12"/>
  <c r="AN185" i="12"/>
  <c r="B48" i="19" s="1"/>
  <c r="AW185" i="12"/>
  <c r="D48" i="19" s="1"/>
  <c r="AE128" i="12"/>
  <c r="AF128" i="12" s="1"/>
  <c r="AG128" i="12" s="1"/>
  <c r="AH128" i="12" s="1"/>
  <c r="AN128" i="12"/>
  <c r="AO128" i="12" s="1"/>
  <c r="AP128" i="12" s="1"/>
  <c r="AQ128" i="12" s="1"/>
  <c r="V128" i="12"/>
  <c r="W128" i="12" s="1"/>
  <c r="X128" i="12" s="1"/>
  <c r="U128" i="12"/>
  <c r="AF144" i="12"/>
  <c r="AG144" i="12" s="1"/>
  <c r="U144" i="12"/>
  <c r="B6" i="18" s="1"/>
  <c r="AW144" i="12"/>
  <c r="D7" i="19" s="1"/>
  <c r="V144" i="12"/>
  <c r="W144" i="12" s="1"/>
  <c r="AE87" i="12"/>
  <c r="U87" i="12"/>
  <c r="B6" i="17" s="1"/>
  <c r="R64" i="17" s="1"/>
  <c r="AX144" i="12"/>
  <c r="AY144" i="12" s="1"/>
  <c r="AZ144" i="12" s="1"/>
  <c r="AN87" i="12"/>
  <c r="AO144" i="12"/>
  <c r="AP144" i="12" s="1"/>
  <c r="V87" i="12"/>
  <c r="W87" i="12" s="1"/>
  <c r="X87" i="12" s="1"/>
  <c r="AE144" i="12"/>
  <c r="D6" i="18" s="1"/>
  <c r="AN144" i="12"/>
  <c r="B7" i="19" s="1"/>
  <c r="AW188" i="12"/>
  <c r="D51" i="19" s="1"/>
  <c r="V188" i="12"/>
  <c r="W188" i="12" s="1"/>
  <c r="X188" i="12" s="1"/>
  <c r="AX188" i="12"/>
  <c r="AY188" i="12" s="1"/>
  <c r="AZ188" i="12" s="1"/>
  <c r="AN188" i="12"/>
  <c r="B51" i="19" s="1"/>
  <c r="AF188" i="12"/>
  <c r="AG188" i="12" s="1"/>
  <c r="AH188" i="12" s="1"/>
  <c r="AO188" i="12"/>
  <c r="AP188" i="12" s="1"/>
  <c r="AQ188" i="12" s="1"/>
  <c r="AE131" i="12"/>
  <c r="AF131" i="12" s="1"/>
  <c r="AG131" i="12" s="1"/>
  <c r="AH131" i="12" s="1"/>
  <c r="U131" i="12"/>
  <c r="U188" i="12"/>
  <c r="AN131" i="12"/>
  <c r="AO131" i="12" s="1"/>
  <c r="AP131" i="12" s="1"/>
  <c r="AQ131" i="12" s="1"/>
  <c r="V131" i="12"/>
  <c r="W131" i="12" s="1"/>
  <c r="X131" i="12" s="1"/>
  <c r="AE188" i="12"/>
  <c r="AO183" i="12"/>
  <c r="AP183" i="12" s="1"/>
  <c r="AQ183" i="12" s="1"/>
  <c r="AE183" i="12"/>
  <c r="AF183" i="12"/>
  <c r="AG183" i="12" s="1"/>
  <c r="AH183" i="12" s="1"/>
  <c r="U183" i="12"/>
  <c r="AN183" i="12"/>
  <c r="B46" i="19" s="1"/>
  <c r="AW183" i="12"/>
  <c r="D46" i="19" s="1"/>
  <c r="V183" i="12"/>
  <c r="W183" i="12" s="1"/>
  <c r="X183" i="12" s="1"/>
  <c r="V126" i="12"/>
  <c r="W126" i="12" s="1"/>
  <c r="AX183" i="12"/>
  <c r="AY183" i="12" s="1"/>
  <c r="AZ183" i="12" s="1"/>
  <c r="AN126" i="12"/>
  <c r="AO126" i="12" s="1"/>
  <c r="AP126" i="12" s="1"/>
  <c r="AE126" i="12"/>
  <c r="AF126" i="12" s="1"/>
  <c r="AG126" i="12" s="1"/>
  <c r="U126" i="12"/>
  <c r="AX171" i="12"/>
  <c r="AY171" i="12" s="1"/>
  <c r="AZ171" i="12" s="1"/>
  <c r="AO171" i="12"/>
  <c r="AP171" i="12" s="1"/>
  <c r="AQ171" i="12" s="1"/>
  <c r="AF171" i="12"/>
  <c r="AG171" i="12" s="1"/>
  <c r="AH171" i="12" s="1"/>
  <c r="V171" i="12"/>
  <c r="W171" i="12" s="1"/>
  <c r="X171" i="12" s="1"/>
  <c r="AW171" i="12"/>
  <c r="D34" i="19" s="1"/>
  <c r="AE171" i="12"/>
  <c r="D33" i="18" s="1"/>
  <c r="U171" i="12"/>
  <c r="B33" i="18" s="1"/>
  <c r="AN171" i="12"/>
  <c r="B34" i="19" s="1"/>
  <c r="AN114" i="12"/>
  <c r="V114" i="12"/>
  <c r="W114" i="12" s="1"/>
  <c r="X114" i="12" s="1"/>
  <c r="U114" i="12"/>
  <c r="B33" i="17" s="1"/>
  <c r="R91" i="17" s="1"/>
  <c r="AE114" i="12"/>
  <c r="AX174" i="12"/>
  <c r="AY174" i="12" s="1"/>
  <c r="AZ174" i="12" s="1"/>
  <c r="AO174" i="12"/>
  <c r="AP174" i="12" s="1"/>
  <c r="AQ174" i="12" s="1"/>
  <c r="AF174" i="12"/>
  <c r="AG174" i="12" s="1"/>
  <c r="AH174" i="12" s="1"/>
  <c r="V174" i="12"/>
  <c r="W174" i="12" s="1"/>
  <c r="X174" i="12" s="1"/>
  <c r="AN174" i="12"/>
  <c r="B37" i="19" s="1"/>
  <c r="AE174" i="12"/>
  <c r="D36" i="18" s="1"/>
  <c r="U174" i="12"/>
  <c r="B36" i="18" s="1"/>
  <c r="AW174" i="12"/>
  <c r="D37" i="19" s="1"/>
  <c r="AE117" i="12"/>
  <c r="U117" i="12"/>
  <c r="B36" i="17" s="1"/>
  <c r="R94" i="17" s="1"/>
  <c r="AN117" i="12"/>
  <c r="V117" i="12"/>
  <c r="W117" i="12" s="1"/>
  <c r="X117" i="12" s="1"/>
  <c r="AO146" i="12"/>
  <c r="AP146" i="12" s="1"/>
  <c r="AE146" i="12"/>
  <c r="D8" i="18" s="1"/>
  <c r="AF146" i="12"/>
  <c r="AG146" i="12" s="1"/>
  <c r="U146" i="12"/>
  <c r="B8" i="18" s="1"/>
  <c r="V89" i="12"/>
  <c r="W89" i="12" s="1"/>
  <c r="X89" i="12" s="1"/>
  <c r="U89" i="12"/>
  <c r="B8" i="17" s="1"/>
  <c r="R66" i="17" s="1"/>
  <c r="AE89" i="12"/>
  <c r="V146" i="12"/>
  <c r="W146" i="12" s="1"/>
  <c r="AN146" i="12"/>
  <c r="B9" i="19" s="1"/>
  <c r="AN89" i="12"/>
  <c r="AX146" i="12"/>
  <c r="AY146" i="12" s="1"/>
  <c r="AW146" i="12"/>
  <c r="D9" i="19" s="1"/>
  <c r="AW168" i="12"/>
  <c r="D31" i="19" s="1"/>
  <c r="AN168" i="12"/>
  <c r="B31" i="19" s="1"/>
  <c r="AE168" i="12"/>
  <c r="D30" i="18" s="1"/>
  <c r="U168" i="12"/>
  <c r="B30" i="18" s="1"/>
  <c r="AF168" i="12"/>
  <c r="AG168" i="12" s="1"/>
  <c r="AH168" i="12" s="1"/>
  <c r="AO168" i="12"/>
  <c r="AP168" i="12" s="1"/>
  <c r="AQ168" i="12" s="1"/>
  <c r="AX168" i="12"/>
  <c r="AY168" i="12" s="1"/>
  <c r="AZ168" i="12" s="1"/>
  <c r="V168" i="12"/>
  <c r="W168" i="12" s="1"/>
  <c r="X168" i="12" s="1"/>
  <c r="AE111" i="12"/>
  <c r="AN111" i="12"/>
  <c r="V111" i="12"/>
  <c r="W111" i="12" s="1"/>
  <c r="U111" i="12"/>
  <c r="B30" i="17" s="1"/>
  <c r="R88" i="17" s="1"/>
  <c r="AX184" i="12"/>
  <c r="AY184" i="12" s="1"/>
  <c r="AZ184" i="12" s="1"/>
  <c r="AN184" i="12"/>
  <c r="B47" i="19" s="1"/>
  <c r="AO184" i="12"/>
  <c r="AP184" i="12" s="1"/>
  <c r="AQ184" i="12" s="1"/>
  <c r="AE184" i="12"/>
  <c r="AW184" i="12"/>
  <c r="D47" i="19" s="1"/>
  <c r="V184" i="12"/>
  <c r="W184" i="12" s="1"/>
  <c r="X184" i="12" s="1"/>
  <c r="AF184" i="12"/>
  <c r="AG184" i="12" s="1"/>
  <c r="AH184" i="12" s="1"/>
  <c r="U184" i="12"/>
  <c r="V127" i="12"/>
  <c r="W127" i="12" s="1"/>
  <c r="X127" i="12" s="1"/>
  <c r="AN127" i="12"/>
  <c r="AO127" i="12" s="1"/>
  <c r="AP127" i="12" s="1"/>
  <c r="AQ127" i="12" s="1"/>
  <c r="AE127" i="12"/>
  <c r="AF127" i="12" s="1"/>
  <c r="AG127" i="12" s="1"/>
  <c r="AH127" i="12" s="1"/>
  <c r="U127" i="12"/>
  <c r="AW155" i="12"/>
  <c r="D18" i="19" s="1"/>
  <c r="AE155" i="12"/>
  <c r="D17" i="18" s="1"/>
  <c r="AX155" i="12"/>
  <c r="AY155" i="12" s="1"/>
  <c r="AZ155" i="12" s="1"/>
  <c r="AN155" i="12"/>
  <c r="B18" i="19" s="1"/>
  <c r="AF155" i="12"/>
  <c r="AG155" i="12" s="1"/>
  <c r="AH155" i="12" s="1"/>
  <c r="U155" i="12"/>
  <c r="B17" i="18" s="1"/>
  <c r="V98" i="12"/>
  <c r="W98" i="12" s="1"/>
  <c r="X98" i="12" s="1"/>
  <c r="V155" i="12"/>
  <c r="W155" i="12" s="1"/>
  <c r="X155" i="12" s="1"/>
  <c r="AN98" i="12"/>
  <c r="AE98" i="12"/>
  <c r="AO155" i="12"/>
  <c r="AP155" i="12" s="1"/>
  <c r="AQ155" i="12" s="1"/>
  <c r="U98" i="12"/>
  <c r="B17" i="17" s="1"/>
  <c r="R75" i="17" s="1"/>
  <c r="AE157" i="12"/>
  <c r="D19" i="18" s="1"/>
  <c r="AW157" i="12"/>
  <c r="D20" i="19" s="1"/>
  <c r="AF157" i="12"/>
  <c r="AG157" i="12" s="1"/>
  <c r="AH157" i="12" s="1"/>
  <c r="U157" i="12"/>
  <c r="B19" i="18" s="1"/>
  <c r="AN157" i="12"/>
  <c r="B20" i="19" s="1"/>
  <c r="U100" i="12"/>
  <c r="B19" i="17" s="1"/>
  <c r="R77" i="17" s="1"/>
  <c r="AE100" i="12"/>
  <c r="AX157" i="12"/>
  <c r="AY157" i="12" s="1"/>
  <c r="AZ157" i="12" s="1"/>
  <c r="V157" i="12"/>
  <c r="W157" i="12" s="1"/>
  <c r="X157" i="12" s="1"/>
  <c r="AO157" i="12"/>
  <c r="AP157" i="12" s="1"/>
  <c r="AQ157" i="12" s="1"/>
  <c r="AN100" i="12"/>
  <c r="V100" i="12"/>
  <c r="W100" i="12" s="1"/>
  <c r="X100" i="12" s="1"/>
  <c r="AX173" i="12"/>
  <c r="AY173" i="12" s="1"/>
  <c r="AZ173" i="12" s="1"/>
  <c r="AO173" i="12"/>
  <c r="AP173" i="12" s="1"/>
  <c r="AQ173" i="12" s="1"/>
  <c r="AF173" i="12"/>
  <c r="AG173" i="12" s="1"/>
  <c r="AH173" i="12" s="1"/>
  <c r="V173" i="12"/>
  <c r="W173" i="12" s="1"/>
  <c r="X173" i="12" s="1"/>
  <c r="AE173" i="12"/>
  <c r="D35" i="18" s="1"/>
  <c r="U173" i="12"/>
  <c r="B35" i="18" s="1"/>
  <c r="AN173" i="12"/>
  <c r="B36" i="19" s="1"/>
  <c r="AE116" i="12"/>
  <c r="U116" i="12"/>
  <c r="B35" i="17" s="1"/>
  <c r="R93" i="17" s="1"/>
  <c r="AW173" i="12"/>
  <c r="D36" i="19" s="1"/>
  <c r="V116" i="12"/>
  <c r="W116" i="12" s="1"/>
  <c r="AN116" i="12"/>
  <c r="AW159" i="12"/>
  <c r="D22" i="19" s="1"/>
  <c r="AO159" i="12"/>
  <c r="AP159" i="12" s="1"/>
  <c r="AQ159" i="12" s="1"/>
  <c r="AE159" i="12"/>
  <c r="D21" i="18" s="1"/>
  <c r="V159" i="12"/>
  <c r="W159" i="12" s="1"/>
  <c r="X159" i="12" s="1"/>
  <c r="AF159" i="12"/>
  <c r="AG159" i="12" s="1"/>
  <c r="AH159" i="12" s="1"/>
  <c r="U159" i="12"/>
  <c r="B21" i="18" s="1"/>
  <c r="AX159" i="12"/>
  <c r="AY159" i="12" s="1"/>
  <c r="AZ159" i="12" s="1"/>
  <c r="V102" i="12"/>
  <c r="W102" i="12" s="1"/>
  <c r="X102" i="12" s="1"/>
  <c r="AN102" i="12"/>
  <c r="AE102" i="12"/>
  <c r="AN159" i="12"/>
  <c r="B22" i="19" s="1"/>
  <c r="U102" i="12"/>
  <c r="B21" i="17" s="1"/>
  <c r="R79" i="17" s="1"/>
  <c r="AF162" i="12"/>
  <c r="AG162" i="12" s="1"/>
  <c r="U162" i="12"/>
  <c r="B24" i="18" s="1"/>
  <c r="AW162" i="12"/>
  <c r="D25" i="19" s="1"/>
  <c r="V162" i="12"/>
  <c r="W162" i="12" s="1"/>
  <c r="AO162" i="12"/>
  <c r="AP162" i="12" s="1"/>
  <c r="AX162" i="12"/>
  <c r="AY162" i="12" s="1"/>
  <c r="AN105" i="12"/>
  <c r="AE162" i="12"/>
  <c r="D24" i="18" s="1"/>
  <c r="AE105" i="12"/>
  <c r="AN162" i="12"/>
  <c r="B25" i="19" s="1"/>
  <c r="U105" i="12"/>
  <c r="B24" i="17" s="1"/>
  <c r="R82" i="17" s="1"/>
  <c r="V105" i="12"/>
  <c r="W105" i="12" s="1"/>
  <c r="X105" i="12" s="1"/>
  <c r="AW180" i="12"/>
  <c r="D43" i="19" s="1"/>
  <c r="AN180" i="12"/>
  <c r="B43" i="19" s="1"/>
  <c r="AE180" i="12"/>
  <c r="D42" i="18" s="1"/>
  <c r="U180" i="12"/>
  <c r="B42" i="18" s="1"/>
  <c r="AX180" i="12"/>
  <c r="AY180" i="12" s="1"/>
  <c r="AZ180" i="12" s="1"/>
  <c r="AF180" i="12"/>
  <c r="AG180" i="12" s="1"/>
  <c r="AH180" i="12" s="1"/>
  <c r="AO180" i="12"/>
  <c r="AP180" i="12" s="1"/>
  <c r="AQ180" i="12" s="1"/>
  <c r="V123" i="12"/>
  <c r="W123" i="12" s="1"/>
  <c r="X123" i="12" s="1"/>
  <c r="AN123" i="12"/>
  <c r="AO123" i="12" s="1"/>
  <c r="AP123" i="12" s="1"/>
  <c r="AQ123" i="12" s="1"/>
  <c r="U123" i="12"/>
  <c r="V180" i="12"/>
  <c r="W180" i="12" s="1"/>
  <c r="X180" i="12" s="1"/>
  <c r="AE123" i="12"/>
  <c r="AF123" i="12" s="1"/>
  <c r="AG123" i="12" s="1"/>
  <c r="AH123" i="12" s="1"/>
  <c r="AO177" i="12"/>
  <c r="AP177" i="12" s="1"/>
  <c r="AQ177" i="12" s="1"/>
  <c r="AE177" i="12"/>
  <c r="D39" i="18" s="1"/>
  <c r="AF177" i="12"/>
  <c r="AG177" i="12" s="1"/>
  <c r="AH177" i="12" s="1"/>
  <c r="U177" i="12"/>
  <c r="B39" i="18" s="1"/>
  <c r="AN177" i="12"/>
  <c r="B40" i="19" s="1"/>
  <c r="AW177" i="12"/>
  <c r="D40" i="19" s="1"/>
  <c r="AE120" i="12"/>
  <c r="AF120" i="12" s="1"/>
  <c r="AG120" i="12" s="1"/>
  <c r="AH120" i="12" s="1"/>
  <c r="AX177" i="12"/>
  <c r="AY177" i="12" s="1"/>
  <c r="AZ177" i="12" s="1"/>
  <c r="V177" i="12"/>
  <c r="W177" i="12" s="1"/>
  <c r="X177" i="12" s="1"/>
  <c r="V120" i="12"/>
  <c r="W120" i="12" s="1"/>
  <c r="X120" i="12" s="1"/>
  <c r="AN120" i="12"/>
  <c r="AO120" i="12" s="1"/>
  <c r="AP120" i="12" s="1"/>
  <c r="AQ120" i="12" s="1"/>
  <c r="U120" i="12"/>
  <c r="AX189" i="12"/>
  <c r="AY189" i="12" s="1"/>
  <c r="AZ189" i="12" s="1"/>
  <c r="AN189" i="12"/>
  <c r="B52" i="19" s="1"/>
  <c r="AO189" i="12"/>
  <c r="AP189" i="12" s="1"/>
  <c r="AQ189" i="12" s="1"/>
  <c r="AE189" i="12"/>
  <c r="U189" i="12"/>
  <c r="V189" i="12"/>
  <c r="W189" i="12" s="1"/>
  <c r="X189" i="12" s="1"/>
  <c r="AF189" i="12"/>
  <c r="AG189" i="12" s="1"/>
  <c r="AH189" i="12" s="1"/>
  <c r="AN132" i="12"/>
  <c r="AO132" i="12" s="1"/>
  <c r="AP132" i="12" s="1"/>
  <c r="AW189" i="12"/>
  <c r="D52" i="19" s="1"/>
  <c r="AE132" i="12"/>
  <c r="AF132" i="12" s="1"/>
  <c r="AG132" i="12" s="1"/>
  <c r="V132" i="12"/>
  <c r="W132" i="12" s="1"/>
  <c r="U132" i="12"/>
  <c r="A81" i="13"/>
  <c r="F81" i="13" s="1"/>
  <c r="B133" i="13"/>
  <c r="B129" i="13"/>
  <c r="B125" i="13"/>
  <c r="B121" i="13"/>
  <c r="B117" i="13"/>
  <c r="B113" i="13"/>
  <c r="B109" i="13"/>
  <c r="B105" i="13"/>
  <c r="B101" i="13"/>
  <c r="B97" i="13"/>
  <c r="B93" i="13"/>
  <c r="B89" i="13"/>
  <c r="B135" i="13"/>
  <c r="B131" i="13"/>
  <c r="B127" i="13"/>
  <c r="B123" i="13"/>
  <c r="B119" i="13"/>
  <c r="B115" i="13"/>
  <c r="B111" i="13"/>
  <c r="B107" i="13"/>
  <c r="B103" i="13"/>
  <c r="B99" i="13"/>
  <c r="B95" i="13"/>
  <c r="B91" i="13"/>
  <c r="B87" i="13"/>
  <c r="B134" i="13"/>
  <c r="B130" i="13"/>
  <c r="B126" i="13"/>
  <c r="B122" i="13"/>
  <c r="B118" i="13"/>
  <c r="B114" i="13"/>
  <c r="B110" i="13"/>
  <c r="B106" i="13"/>
  <c r="B102" i="13"/>
  <c r="B98" i="13"/>
  <c r="B94" i="13"/>
  <c r="B90" i="13"/>
  <c r="B124" i="13"/>
  <c r="B108" i="13"/>
  <c r="B92" i="13"/>
  <c r="B132" i="13"/>
  <c r="B116" i="13"/>
  <c r="B100" i="13"/>
  <c r="B128" i="13"/>
  <c r="B112" i="13"/>
  <c r="B96" i="13"/>
  <c r="B120" i="13"/>
  <c r="B104" i="13"/>
  <c r="B88" i="13"/>
  <c r="C117" i="12"/>
  <c r="C89" i="12"/>
  <c r="C111" i="12"/>
  <c r="C127" i="12"/>
  <c r="C98" i="12"/>
  <c r="C100" i="12"/>
  <c r="C116" i="12"/>
  <c r="C102" i="12"/>
  <c r="C105" i="12"/>
  <c r="C123" i="12"/>
  <c r="C120" i="12"/>
  <c r="C132" i="12"/>
  <c r="C95" i="12"/>
  <c r="C103" i="12"/>
  <c r="C91" i="12"/>
  <c r="C130" i="12"/>
  <c r="C88" i="12"/>
  <c r="C90" i="12"/>
  <c r="C134" i="12"/>
  <c r="C109" i="12"/>
  <c r="C99" i="12"/>
  <c r="C94" i="12"/>
  <c r="C113" i="12"/>
  <c r="C104" i="12"/>
  <c r="C121" i="12"/>
  <c r="F81" i="12"/>
  <c r="A82" i="12"/>
  <c r="C119" i="12"/>
  <c r="C112" i="12"/>
  <c r="C107" i="12"/>
  <c r="C115" i="12"/>
  <c r="C96" i="12"/>
  <c r="C92" i="12"/>
  <c r="C106" i="12"/>
  <c r="C125" i="12"/>
  <c r="C97" i="12"/>
  <c r="C108" i="12"/>
  <c r="C129" i="12"/>
  <c r="C122" i="12"/>
  <c r="C101" i="12"/>
  <c r="C133" i="12"/>
  <c r="C118" i="12"/>
  <c r="C93" i="12"/>
  <c r="C110" i="12"/>
  <c r="C135" i="12"/>
  <c r="C124" i="12"/>
  <c r="C128" i="12"/>
  <c r="R90" i="12"/>
  <c r="S90" i="12" s="1"/>
  <c r="T90" i="12" s="1"/>
  <c r="R92" i="12"/>
  <c r="S92" i="12" s="1"/>
  <c r="T92" i="12" s="1"/>
  <c r="R91" i="12"/>
  <c r="S91" i="12" s="1"/>
  <c r="T91" i="12" s="1"/>
  <c r="R88" i="12"/>
  <c r="S88" i="12" s="1"/>
  <c r="T88" i="12" s="1"/>
  <c r="C87" i="12"/>
  <c r="A87" i="12" s="1"/>
  <c r="AE150" i="1" s="1"/>
  <c r="R86" i="12"/>
  <c r="S86" i="12" s="1"/>
  <c r="T86" i="12" s="1"/>
  <c r="R87" i="12"/>
  <c r="S87" i="12" s="1"/>
  <c r="T87" i="12" s="1"/>
  <c r="R89" i="12"/>
  <c r="S89" i="12" s="1"/>
  <c r="T89" i="12" s="1"/>
  <c r="C131" i="12"/>
  <c r="C126" i="12"/>
  <c r="C114" i="12"/>
  <c r="C358" i="1"/>
  <c r="AF136" i="12" l="1"/>
  <c r="AG136" i="12" s="1"/>
  <c r="AH136" i="12" s="1"/>
  <c r="D56" i="19"/>
  <c r="D57" i="19" s="1"/>
  <c r="AO136" i="12"/>
  <c r="AP136" i="12" s="1"/>
  <c r="AQ136" i="12" s="1"/>
  <c r="F78" i="13"/>
  <c r="B56" i="19"/>
  <c r="C88" i="13"/>
  <c r="C112" i="13"/>
  <c r="C132" i="13"/>
  <c r="C90" i="13"/>
  <c r="C106" i="13"/>
  <c r="C122" i="13"/>
  <c r="C87" i="13"/>
  <c r="A87" i="13" s="1"/>
  <c r="C103" i="13"/>
  <c r="C119" i="13"/>
  <c r="C135" i="13"/>
  <c r="C101" i="13"/>
  <c r="C117" i="13"/>
  <c r="C133" i="13"/>
  <c r="C104" i="13"/>
  <c r="C92" i="13"/>
  <c r="C126" i="13"/>
  <c r="C123" i="13"/>
  <c r="C105" i="13"/>
  <c r="C120" i="13"/>
  <c r="C100" i="13"/>
  <c r="C108" i="13"/>
  <c r="C98" i="13"/>
  <c r="C114" i="13"/>
  <c r="C130" i="13"/>
  <c r="C95" i="13"/>
  <c r="C111" i="13"/>
  <c r="C127" i="13"/>
  <c r="C93" i="13"/>
  <c r="C109" i="13"/>
  <c r="C125" i="13"/>
  <c r="C128" i="13"/>
  <c r="C94" i="13"/>
  <c r="C110" i="13"/>
  <c r="C91" i="13"/>
  <c r="C107" i="13"/>
  <c r="C89" i="13"/>
  <c r="C121" i="13"/>
  <c r="C96" i="13"/>
  <c r="C116" i="13"/>
  <c r="C124" i="13"/>
  <c r="C102" i="13"/>
  <c r="C118" i="13"/>
  <c r="C134" i="13"/>
  <c r="C99" i="13"/>
  <c r="C115" i="13"/>
  <c r="C131" i="13"/>
  <c r="C97" i="13"/>
  <c r="C113" i="13"/>
  <c r="C129" i="13"/>
  <c r="A142" i="12"/>
  <c r="C119" i="18"/>
  <c r="C120" i="18" s="1"/>
  <c r="B43" i="18"/>
  <c r="I70" i="17"/>
  <c r="G69" i="18"/>
  <c r="G70" i="19"/>
  <c r="F118" i="17"/>
  <c r="F119" i="17" s="1"/>
  <c r="I118" i="17"/>
  <c r="I119" i="17" s="1"/>
  <c r="D43" i="18"/>
  <c r="D44" i="18" s="1"/>
  <c r="B37" i="17"/>
  <c r="R95" i="17" s="1"/>
  <c r="B57" i="19"/>
  <c r="AF105" i="12"/>
  <c r="AG105" i="12" s="1"/>
  <c r="AH105" i="12" s="1"/>
  <c r="D24" i="17"/>
  <c r="T82" i="17" s="1"/>
  <c r="AO102" i="12"/>
  <c r="AP102" i="12" s="1"/>
  <c r="AQ102" i="12" s="1"/>
  <c r="F21" i="17"/>
  <c r="V79" i="17" s="1"/>
  <c r="AO98" i="12"/>
  <c r="AP98" i="12" s="1"/>
  <c r="AQ98" i="12" s="1"/>
  <c r="F17" i="17"/>
  <c r="V75" i="17" s="1"/>
  <c r="AF111" i="12"/>
  <c r="AG111" i="12" s="1"/>
  <c r="AH111" i="12" s="1"/>
  <c r="D30" i="17"/>
  <c r="T88" i="17" s="1"/>
  <c r="AF117" i="12"/>
  <c r="AG117" i="12" s="1"/>
  <c r="AH117" i="12" s="1"/>
  <c r="D36" i="17"/>
  <c r="T94" i="17" s="1"/>
  <c r="AO114" i="12"/>
  <c r="AP114" i="12" s="1"/>
  <c r="AQ114" i="12" s="1"/>
  <c r="F33" i="17"/>
  <c r="V91" i="17" s="1"/>
  <c r="AF87" i="12"/>
  <c r="AG87" i="12" s="1"/>
  <c r="AH87" i="12" s="1"/>
  <c r="AI87" i="12" s="1"/>
  <c r="D6" i="17"/>
  <c r="T64" i="17" s="1"/>
  <c r="AF118" i="12"/>
  <c r="AG118" i="12" s="1"/>
  <c r="AH118" i="12" s="1"/>
  <c r="AF101" i="12"/>
  <c r="AG101" i="12" s="1"/>
  <c r="AH101" i="12" s="1"/>
  <c r="D20" i="17"/>
  <c r="T78" i="17" s="1"/>
  <c r="AF94" i="12"/>
  <c r="AG94" i="12" s="1"/>
  <c r="AH94" i="12" s="1"/>
  <c r="D13" i="17"/>
  <c r="T71" i="17" s="1"/>
  <c r="AO109" i="12"/>
  <c r="AP109" i="12" s="1"/>
  <c r="AQ109" i="12" s="1"/>
  <c r="F28" i="17"/>
  <c r="V86" i="17" s="1"/>
  <c r="AF90" i="12"/>
  <c r="AG90" i="12" s="1"/>
  <c r="AH90" i="12" s="1"/>
  <c r="D9" i="17"/>
  <c r="T67" i="17" s="1"/>
  <c r="AO97" i="12"/>
  <c r="AP97" i="12" s="1"/>
  <c r="AQ97" i="12" s="1"/>
  <c r="F16" i="17"/>
  <c r="V74" i="17" s="1"/>
  <c r="AO106" i="12"/>
  <c r="AP106" i="12" s="1"/>
  <c r="AQ106" i="12" s="1"/>
  <c r="F25" i="17"/>
  <c r="V83" i="17" s="1"/>
  <c r="AF106" i="12"/>
  <c r="AG106" i="12" s="1"/>
  <c r="AH106" i="12" s="1"/>
  <c r="D25" i="17"/>
  <c r="T83" i="17" s="1"/>
  <c r="AF96" i="12"/>
  <c r="AG96" i="12" s="1"/>
  <c r="AH96" i="12" s="1"/>
  <c r="D15" i="17"/>
  <c r="T73" i="17" s="1"/>
  <c r="AF115" i="12"/>
  <c r="AG115" i="12" s="1"/>
  <c r="AH115" i="12" s="1"/>
  <c r="D34" i="17"/>
  <c r="T92" i="17" s="1"/>
  <c r="AO119" i="12"/>
  <c r="AP119" i="12" s="1"/>
  <c r="AQ119" i="12" s="1"/>
  <c r="AF99" i="12"/>
  <c r="AG99" i="12" s="1"/>
  <c r="AH99" i="12" s="1"/>
  <c r="D18" i="17"/>
  <c r="T76" i="17" s="1"/>
  <c r="AO88" i="12"/>
  <c r="AP88" i="12" s="1"/>
  <c r="AQ88" i="12" s="1"/>
  <c r="F7" i="17"/>
  <c r="V65" i="17" s="1"/>
  <c r="AF88" i="12"/>
  <c r="AG88" i="12" s="1"/>
  <c r="AH88" i="12" s="1"/>
  <c r="D7" i="17"/>
  <c r="T65" i="17" s="1"/>
  <c r="AO116" i="12"/>
  <c r="AP116" i="12" s="1"/>
  <c r="AQ116" i="12" s="1"/>
  <c r="F35" i="17"/>
  <c r="V93" i="17" s="1"/>
  <c r="AF116" i="12"/>
  <c r="AG116" i="12" s="1"/>
  <c r="AH116" i="12" s="1"/>
  <c r="D35" i="17"/>
  <c r="T93" i="17" s="1"/>
  <c r="AF114" i="12"/>
  <c r="AG114" i="12" s="1"/>
  <c r="AH114" i="12" s="1"/>
  <c r="D33" i="17"/>
  <c r="T91" i="17" s="1"/>
  <c r="AO87" i="12"/>
  <c r="AP87" i="12" s="1"/>
  <c r="AQ87" i="12" s="1"/>
  <c r="AR87" i="12" s="1"/>
  <c r="F6" i="17"/>
  <c r="V64" i="17" s="1"/>
  <c r="AO118" i="12"/>
  <c r="AP118" i="12" s="1"/>
  <c r="AQ118" i="12" s="1"/>
  <c r="AO113" i="12"/>
  <c r="AP113" i="12" s="1"/>
  <c r="AQ113" i="12" s="1"/>
  <c r="F32" i="17"/>
  <c r="V90" i="17" s="1"/>
  <c r="AF109" i="12"/>
  <c r="AG109" i="12" s="1"/>
  <c r="AH109" i="12" s="1"/>
  <c r="D28" i="17"/>
  <c r="T86" i="17" s="1"/>
  <c r="AO103" i="12"/>
  <c r="AP103" i="12" s="1"/>
  <c r="AQ103" i="12" s="1"/>
  <c r="F22" i="17"/>
  <c r="V80" i="17" s="1"/>
  <c r="AF97" i="12"/>
  <c r="AG97" i="12" s="1"/>
  <c r="AH97" i="12" s="1"/>
  <c r="D16" i="17"/>
  <c r="T74" i="17" s="1"/>
  <c r="AF107" i="12"/>
  <c r="AG107" i="12" s="1"/>
  <c r="AH107" i="12" s="1"/>
  <c r="D26" i="17"/>
  <c r="T84" i="17" s="1"/>
  <c r="AO112" i="12"/>
  <c r="AP112" i="12" s="1"/>
  <c r="AQ112" i="12" s="1"/>
  <c r="F31" i="17"/>
  <c r="V89" i="17" s="1"/>
  <c r="AF104" i="12"/>
  <c r="AG104" i="12" s="1"/>
  <c r="AH104" i="12" s="1"/>
  <c r="D23" i="17"/>
  <c r="T81" i="17" s="1"/>
  <c r="AO99" i="12"/>
  <c r="AP99" i="12" s="1"/>
  <c r="AQ99" i="12" s="1"/>
  <c r="F18" i="17"/>
  <c r="V76" i="17" s="1"/>
  <c r="AO105" i="12"/>
  <c r="AP105" i="12" s="1"/>
  <c r="AQ105" i="12" s="1"/>
  <c r="F24" i="17"/>
  <c r="V82" i="17" s="1"/>
  <c r="AO100" i="12"/>
  <c r="AP100" i="12" s="1"/>
  <c r="AQ100" i="12" s="1"/>
  <c r="F19" i="17"/>
  <c r="V77" i="17" s="1"/>
  <c r="AF100" i="12"/>
  <c r="AG100" i="12" s="1"/>
  <c r="AH100" i="12" s="1"/>
  <c r="D19" i="17"/>
  <c r="T77" i="17" s="1"/>
  <c r="AF89" i="12"/>
  <c r="AG89" i="12" s="1"/>
  <c r="AH89" i="12" s="1"/>
  <c r="D8" i="17"/>
  <c r="T66" i="17" s="1"/>
  <c r="AO117" i="12"/>
  <c r="AP117" i="12" s="1"/>
  <c r="AQ117" i="12" s="1"/>
  <c r="F36" i="17"/>
  <c r="V94" i="17" s="1"/>
  <c r="AO110" i="12"/>
  <c r="AP110" i="12" s="1"/>
  <c r="AQ110" i="12" s="1"/>
  <c r="F29" i="17"/>
  <c r="V87" i="17" s="1"/>
  <c r="AO93" i="12"/>
  <c r="AP93" i="12" s="1"/>
  <c r="AQ93" i="12" s="1"/>
  <c r="F12" i="17"/>
  <c r="V70" i="17" s="1"/>
  <c r="AO101" i="12"/>
  <c r="AP101" i="12" s="1"/>
  <c r="AQ101" i="12" s="1"/>
  <c r="F20" i="17"/>
  <c r="V78" i="17" s="1"/>
  <c r="AO94" i="12"/>
  <c r="AP94" i="12" s="1"/>
  <c r="AQ94" i="12" s="1"/>
  <c r="F13" i="17"/>
  <c r="V71" i="17" s="1"/>
  <c r="AO91" i="12"/>
  <c r="AP91" i="12" s="1"/>
  <c r="AQ91" i="12" s="1"/>
  <c r="F10" i="17"/>
  <c r="V68" i="17" s="1"/>
  <c r="AF103" i="12"/>
  <c r="AG103" i="12" s="1"/>
  <c r="AH103" i="12" s="1"/>
  <c r="D22" i="17"/>
  <c r="T80" i="17" s="1"/>
  <c r="AF95" i="12"/>
  <c r="AG95" i="12" s="1"/>
  <c r="AH95" i="12" s="1"/>
  <c r="D14" i="17"/>
  <c r="T72" i="17" s="1"/>
  <c r="AO95" i="12"/>
  <c r="AP95" i="12" s="1"/>
  <c r="AQ95" i="12" s="1"/>
  <c r="F14" i="17"/>
  <c r="V72" i="17" s="1"/>
  <c r="AO108" i="12"/>
  <c r="AP108" i="12" s="1"/>
  <c r="AQ108" i="12" s="1"/>
  <c r="F27" i="17"/>
  <c r="V85" i="17" s="1"/>
  <c r="AF92" i="12"/>
  <c r="AG92" i="12" s="1"/>
  <c r="AH92" i="12" s="1"/>
  <c r="D11" i="17"/>
  <c r="T69" i="17" s="1"/>
  <c r="AO115" i="12"/>
  <c r="AP115" i="12" s="1"/>
  <c r="AQ115" i="12" s="1"/>
  <c r="F34" i="17"/>
  <c r="V92" i="17" s="1"/>
  <c r="AO107" i="12"/>
  <c r="AP107" i="12" s="1"/>
  <c r="AQ107" i="12" s="1"/>
  <c r="F26" i="17"/>
  <c r="V84" i="17" s="1"/>
  <c r="AF112" i="12"/>
  <c r="AG112" i="12" s="1"/>
  <c r="AH112" i="12" s="1"/>
  <c r="D31" i="17"/>
  <c r="T89" i="17" s="1"/>
  <c r="AO104" i="12"/>
  <c r="AP104" i="12" s="1"/>
  <c r="AQ104" i="12" s="1"/>
  <c r="F23" i="17"/>
  <c r="V81" i="17" s="1"/>
  <c r="AF102" i="12"/>
  <c r="AG102" i="12" s="1"/>
  <c r="AH102" i="12" s="1"/>
  <c r="D21" i="17"/>
  <c r="T79" i="17" s="1"/>
  <c r="AF98" i="12"/>
  <c r="AG98" i="12" s="1"/>
  <c r="AH98" i="12" s="1"/>
  <c r="D17" i="17"/>
  <c r="T75" i="17" s="1"/>
  <c r="AO111" i="12"/>
  <c r="AP111" i="12" s="1"/>
  <c r="AQ111" i="12" s="1"/>
  <c r="F30" i="17"/>
  <c r="V88" i="17" s="1"/>
  <c r="AO89" i="12"/>
  <c r="AP89" i="12" s="1"/>
  <c r="AQ89" i="12" s="1"/>
  <c r="F8" i="17"/>
  <c r="V66" i="17" s="1"/>
  <c r="AF110" i="12"/>
  <c r="AG110" i="12" s="1"/>
  <c r="AH110" i="12" s="1"/>
  <c r="D29" i="17"/>
  <c r="T87" i="17" s="1"/>
  <c r="AF93" i="12"/>
  <c r="AG93" i="12" s="1"/>
  <c r="AH93" i="12" s="1"/>
  <c r="D12" i="17"/>
  <c r="T70" i="17" s="1"/>
  <c r="AF113" i="12"/>
  <c r="AG113" i="12" s="1"/>
  <c r="AH113" i="12" s="1"/>
  <c r="D32" i="17"/>
  <c r="T90" i="17" s="1"/>
  <c r="AO90" i="12"/>
  <c r="AP90" i="12" s="1"/>
  <c r="AQ90" i="12" s="1"/>
  <c r="F9" i="17"/>
  <c r="V67" i="17" s="1"/>
  <c r="AF91" i="12"/>
  <c r="AG91" i="12" s="1"/>
  <c r="AH91" i="12" s="1"/>
  <c r="D10" i="17"/>
  <c r="T68" i="17" s="1"/>
  <c r="AF108" i="12"/>
  <c r="AG108" i="12" s="1"/>
  <c r="AH108" i="12" s="1"/>
  <c r="D27" i="17"/>
  <c r="T85" i="17" s="1"/>
  <c r="AO92" i="12"/>
  <c r="AP92" i="12" s="1"/>
  <c r="AQ92" i="12" s="1"/>
  <c r="F11" i="17"/>
  <c r="V69" i="17" s="1"/>
  <c r="AO96" i="12"/>
  <c r="AP96" i="12" s="1"/>
  <c r="AQ96" i="12" s="1"/>
  <c r="F15" i="17"/>
  <c r="V73" i="17" s="1"/>
  <c r="AF119" i="12"/>
  <c r="AG119" i="12" s="1"/>
  <c r="AH119" i="12" s="1"/>
  <c r="BD144" i="12"/>
  <c r="E7" i="19" s="1"/>
  <c r="AU144" i="12"/>
  <c r="C7" i="19" s="1"/>
  <c r="AL144" i="12"/>
  <c r="E6" i="18" s="1"/>
  <c r="AB144" i="12"/>
  <c r="C6" i="18" s="1"/>
  <c r="AB87" i="12"/>
  <c r="X162" i="12"/>
  <c r="X146" i="12"/>
  <c r="X126" i="12"/>
  <c r="AH132" i="12"/>
  <c r="AZ162" i="12"/>
  <c r="AQ126" i="12"/>
  <c r="Y87" i="12"/>
  <c r="AH124" i="12"/>
  <c r="AH150" i="12"/>
  <c r="AH158" i="12"/>
  <c r="AQ166" i="12"/>
  <c r="AH134" i="12"/>
  <c r="AQ148" i="12"/>
  <c r="X103" i="12"/>
  <c r="AH160" i="12"/>
  <c r="AQ152" i="12"/>
  <c r="X108" i="12"/>
  <c r="AQ154" i="12"/>
  <c r="AQ164" i="12"/>
  <c r="AQ156" i="12"/>
  <c r="AQ162" i="12"/>
  <c r="AH162" i="12"/>
  <c r="AQ146" i="12"/>
  <c r="AQ144" i="12"/>
  <c r="AH144" i="12"/>
  <c r="AQ124" i="12"/>
  <c r="AZ150" i="12"/>
  <c r="AZ158" i="12"/>
  <c r="AZ166" i="12"/>
  <c r="AQ134" i="12"/>
  <c r="AZ148" i="12"/>
  <c r="X160" i="12"/>
  <c r="AQ160" i="12"/>
  <c r="X95" i="12"/>
  <c r="AZ152" i="12"/>
  <c r="AZ154" i="12"/>
  <c r="AZ164" i="12"/>
  <c r="X104" i="12"/>
  <c r="X99" i="12"/>
  <c r="AZ156" i="12"/>
  <c r="AZ145" i="12"/>
  <c r="AQ132" i="12"/>
  <c r="X144" i="12"/>
  <c r="X124" i="12"/>
  <c r="X150" i="12"/>
  <c r="X101" i="12"/>
  <c r="AH166" i="12"/>
  <c r="X134" i="12"/>
  <c r="X148" i="12"/>
  <c r="X152" i="12"/>
  <c r="X154" i="12"/>
  <c r="X115" i="12"/>
  <c r="X164" i="12"/>
  <c r="X112" i="12"/>
  <c r="X156" i="12"/>
  <c r="BC144" i="12"/>
  <c r="AT144" i="12"/>
  <c r="AK144" i="12"/>
  <c r="AA144" i="12"/>
  <c r="AT87" i="12"/>
  <c r="AA87" i="12"/>
  <c r="AK87" i="12"/>
  <c r="X132" i="12"/>
  <c r="X116" i="12"/>
  <c r="X111" i="12"/>
  <c r="AZ146" i="12"/>
  <c r="AH146" i="12"/>
  <c r="AH126" i="12"/>
  <c r="BA144" i="12"/>
  <c r="AQ150" i="12"/>
  <c r="X118" i="12"/>
  <c r="X158" i="12"/>
  <c r="AQ158" i="12"/>
  <c r="X166" i="12"/>
  <c r="X90" i="12"/>
  <c r="AH148" i="12"/>
  <c r="AZ160" i="12"/>
  <c r="AH152" i="12"/>
  <c r="AH154" i="12"/>
  <c r="X92" i="12"/>
  <c r="X107" i="12"/>
  <c r="AH164" i="12"/>
  <c r="AH156" i="12"/>
  <c r="AH145" i="12"/>
  <c r="A82" i="13"/>
  <c r="A83" i="13" s="1"/>
  <c r="F82" i="12"/>
  <c r="A83" i="12"/>
  <c r="A88" i="12"/>
  <c r="D87" i="12"/>
  <c r="D141" i="1"/>
  <c r="B33" i="2" s="1"/>
  <c r="F358" i="1"/>
  <c r="E358" i="1" s="1"/>
  <c r="B358" i="1"/>
  <c r="A88" i="13" l="1"/>
  <c r="A89" i="13" s="1"/>
  <c r="D87" i="13"/>
  <c r="Y145" i="12"/>
  <c r="AE151" i="1"/>
  <c r="C6" i="17"/>
  <c r="S64" i="17" s="1"/>
  <c r="B38" i="17"/>
  <c r="R96" i="17" s="1"/>
  <c r="B44" i="18"/>
  <c r="F37" i="17"/>
  <c r="V95" i="17" s="1"/>
  <c r="D37" i="17"/>
  <c r="T95" i="17" s="1"/>
  <c r="D45" i="18"/>
  <c r="D46" i="18" s="1"/>
  <c r="G70" i="18"/>
  <c r="G71" i="19"/>
  <c r="I71" i="17"/>
  <c r="AU87" i="12"/>
  <c r="AL87" i="12"/>
  <c r="AR145" i="12"/>
  <c r="AU145" i="12"/>
  <c r="C8" i="19" s="1"/>
  <c r="AL145" i="12"/>
  <c r="E7" i="18" s="1"/>
  <c r="BD145" i="12"/>
  <c r="E8" i="19" s="1"/>
  <c r="AB145" i="12"/>
  <c r="C7" i="18" s="1"/>
  <c r="AU88" i="12"/>
  <c r="AL88" i="12"/>
  <c r="AB88" i="12"/>
  <c r="AR144" i="12"/>
  <c r="AI88" i="12"/>
  <c r="Y144" i="12"/>
  <c r="BA145" i="12"/>
  <c r="AI144" i="12"/>
  <c r="BC145" i="12"/>
  <c r="AT145" i="12"/>
  <c r="AK145" i="12"/>
  <c r="AA88" i="12"/>
  <c r="AA145" i="12"/>
  <c r="AK88" i="12"/>
  <c r="AT88" i="12"/>
  <c r="AI145" i="12"/>
  <c r="AR88" i="12"/>
  <c r="Y88" i="12"/>
  <c r="F82" i="13"/>
  <c r="A89" i="12"/>
  <c r="AE152" i="1" s="1"/>
  <c r="D88" i="12"/>
  <c r="F83" i="12"/>
  <c r="A84" i="12"/>
  <c r="F84" i="12" s="1"/>
  <c r="C84" i="12"/>
  <c r="A136" i="12" s="1"/>
  <c r="AE199" i="1" s="1"/>
  <c r="A84" i="13"/>
  <c r="F84" i="13" s="1"/>
  <c r="F83" i="13"/>
  <c r="C84" i="13"/>
  <c r="A136" i="13" s="1"/>
  <c r="D136" i="13" s="1"/>
  <c r="G358" i="1"/>
  <c r="AH358" i="1" s="1"/>
  <c r="D358" i="1"/>
  <c r="AG366" i="1" s="1"/>
  <c r="K141" i="1"/>
  <c r="D88" i="13" l="1"/>
  <c r="G6" i="17"/>
  <c r="W64" i="17" s="1"/>
  <c r="G7" i="17"/>
  <c r="W65" i="17" s="1"/>
  <c r="C7" i="17"/>
  <c r="S65" i="17" s="1"/>
  <c r="E6" i="17"/>
  <c r="U64" i="17" s="1"/>
  <c r="E7" i="17"/>
  <c r="U65" i="17" s="1"/>
  <c r="B39" i="17"/>
  <c r="R97" i="17" s="1"/>
  <c r="D47" i="18"/>
  <c r="B45" i="18"/>
  <c r="D38" i="17"/>
  <c r="T96" i="17" s="1"/>
  <c r="F38" i="17"/>
  <c r="V96" i="17" s="1"/>
  <c r="G72" i="19"/>
  <c r="I72" i="17"/>
  <c r="G71" i="18"/>
  <c r="AU193" i="12"/>
  <c r="C56" i="19" s="1"/>
  <c r="AL193" i="12"/>
  <c r="E55" i="18" s="1"/>
  <c r="BD193" i="12"/>
  <c r="E56" i="19" s="1"/>
  <c r="AB193" i="12"/>
  <c r="C55" i="18" s="1"/>
  <c r="AL136" i="12"/>
  <c r="E55" i="17" s="1"/>
  <c r="AB136" i="12"/>
  <c r="C55" i="17" s="1"/>
  <c r="AU136" i="12"/>
  <c r="G55" i="17" s="1"/>
  <c r="AL146" i="12"/>
  <c r="E8" i="18" s="1"/>
  <c r="AB146" i="12"/>
  <c r="C8" i="18" s="1"/>
  <c r="AU146" i="12"/>
  <c r="C9" i="19" s="1"/>
  <c r="BD146" i="12"/>
  <c r="E9" i="19" s="1"/>
  <c r="AL89" i="12"/>
  <c r="AB89" i="12"/>
  <c r="AU89" i="12"/>
  <c r="BC146" i="12"/>
  <c r="AT146" i="12"/>
  <c r="AK146" i="12"/>
  <c r="AA146" i="12"/>
  <c r="AK89" i="12"/>
  <c r="AT89" i="12"/>
  <c r="AA89" i="12"/>
  <c r="AR89" i="12"/>
  <c r="Y89" i="12"/>
  <c r="AI89" i="12"/>
  <c r="AT193" i="12"/>
  <c r="AA193" i="12"/>
  <c r="BC193" i="12"/>
  <c r="AA136" i="12"/>
  <c r="AK136" i="12"/>
  <c r="AK193" i="12"/>
  <c r="AT136" i="12"/>
  <c r="AR193" i="12"/>
  <c r="BA193" i="12"/>
  <c r="AI193" i="12"/>
  <c r="Y193" i="12"/>
  <c r="Y136" i="12"/>
  <c r="AI136" i="12"/>
  <c r="AR136" i="12"/>
  <c r="Y146" i="12"/>
  <c r="AR146" i="12"/>
  <c r="BA146" i="12"/>
  <c r="AI146" i="12"/>
  <c r="D136" i="12"/>
  <c r="A90" i="12"/>
  <c r="AE153" i="1" s="1"/>
  <c r="D89" i="12"/>
  <c r="A90" i="13"/>
  <c r="D89" i="13"/>
  <c r="AG364" i="1"/>
  <c r="AG374" i="1"/>
  <c r="AG375" i="1"/>
  <c r="AG361" i="1"/>
  <c r="AH357" i="1"/>
  <c r="AH372" i="1"/>
  <c r="AH377" i="1"/>
  <c r="AH368" i="1"/>
  <c r="AH363" i="1"/>
  <c r="AH359" i="1"/>
  <c r="AH365" i="1"/>
  <c r="AH379" i="1"/>
  <c r="AH370" i="1"/>
  <c r="AH361" i="1"/>
  <c r="AH375" i="1"/>
  <c r="AH366" i="1"/>
  <c r="AI366" i="1" s="1"/>
  <c r="AG377" i="1"/>
  <c r="AG380" i="1"/>
  <c r="AG371" i="1"/>
  <c r="AG362" i="1"/>
  <c r="AG373" i="1"/>
  <c r="AG376" i="1"/>
  <c r="AG367" i="1"/>
  <c r="AG358" i="1"/>
  <c r="AI358" i="1" s="1"/>
  <c r="AG369" i="1"/>
  <c r="AG368" i="1"/>
  <c r="AG378" i="1"/>
  <c r="AH373" i="1"/>
  <c r="AH380" i="1"/>
  <c r="AH364" i="1"/>
  <c r="AH371" i="1"/>
  <c r="AH378" i="1"/>
  <c r="AH362" i="1"/>
  <c r="AH369" i="1"/>
  <c r="AH376" i="1"/>
  <c r="AH360" i="1"/>
  <c r="AH367" i="1"/>
  <c r="AH374" i="1"/>
  <c r="AG360" i="1"/>
  <c r="AG363" i="1"/>
  <c r="AG370" i="1"/>
  <c r="AG357" i="1"/>
  <c r="AG365" i="1"/>
  <c r="AI365" i="1" s="1"/>
  <c r="AG372" i="1"/>
  <c r="AG379" i="1"/>
  <c r="AG359" i="1"/>
  <c r="AI370" i="1" l="1"/>
  <c r="E8" i="17"/>
  <c r="U66" i="17" s="1"/>
  <c r="G8" i="17"/>
  <c r="W66" i="17" s="1"/>
  <c r="C8" i="17"/>
  <c r="S66" i="17" s="1"/>
  <c r="B40" i="17"/>
  <c r="R98" i="17" s="1"/>
  <c r="F39" i="17"/>
  <c r="V97" i="17" s="1"/>
  <c r="D39" i="17"/>
  <c r="T97" i="17" s="1"/>
  <c r="AI374" i="1"/>
  <c r="AI359" i="1"/>
  <c r="B46" i="18"/>
  <c r="D48" i="18"/>
  <c r="G72" i="18"/>
  <c r="I73" i="17"/>
  <c r="G73" i="19"/>
  <c r="BD147" i="12"/>
  <c r="E10" i="19" s="1"/>
  <c r="AL147" i="12"/>
  <c r="E9" i="18" s="1"/>
  <c r="AU90" i="12"/>
  <c r="AL90" i="12"/>
  <c r="AB90" i="12"/>
  <c r="AB147" i="12"/>
  <c r="C9" i="18" s="1"/>
  <c r="AU147" i="12"/>
  <c r="C10" i="19" s="1"/>
  <c r="BC147" i="12"/>
  <c r="AT147" i="12"/>
  <c r="AK147" i="12"/>
  <c r="AA147" i="12"/>
  <c r="AA90" i="12"/>
  <c r="AK90" i="12"/>
  <c r="AT90" i="12"/>
  <c r="AR147" i="12"/>
  <c r="AI147" i="12"/>
  <c r="Y147" i="12"/>
  <c r="BA147" i="12"/>
  <c r="Y90" i="12"/>
  <c r="AR90" i="12"/>
  <c r="AI90" i="12"/>
  <c r="A91" i="13"/>
  <c r="D90" i="13"/>
  <c r="A91" i="12"/>
  <c r="AE154" i="1" s="1"/>
  <c r="D90" i="12"/>
  <c r="AI375" i="1"/>
  <c r="AI357" i="1"/>
  <c r="AI364" i="1"/>
  <c r="AI368" i="1"/>
  <c r="AI361" i="1"/>
  <c r="AI372" i="1"/>
  <c r="AI377" i="1"/>
  <c r="AI367" i="1"/>
  <c r="AI371" i="1"/>
  <c r="AI363" i="1"/>
  <c r="AI362" i="1"/>
  <c r="AI379" i="1"/>
  <c r="AI360" i="1"/>
  <c r="AI378" i="1"/>
  <c r="AI373" i="1"/>
  <c r="AI369" i="1"/>
  <c r="AI380" i="1"/>
  <c r="AI376" i="1"/>
  <c r="A225" i="1"/>
  <c r="A226" i="1"/>
  <c r="A227" i="1"/>
  <c r="A228" i="1"/>
  <c r="A229" i="1"/>
  <c r="A230" i="1"/>
  <c r="A231" i="1"/>
  <c r="A232" i="1"/>
  <c r="A233" i="1"/>
  <c r="A234" i="1"/>
  <c r="E9" i="17" l="1"/>
  <c r="U67" i="17" s="1"/>
  <c r="G9" i="17"/>
  <c r="W67" i="17" s="1"/>
  <c r="C9" i="17"/>
  <c r="S67" i="17" s="1"/>
  <c r="B41" i="17"/>
  <c r="R99" i="17" s="1"/>
  <c r="D40" i="17"/>
  <c r="T98" i="17" s="1"/>
  <c r="F40" i="17"/>
  <c r="V98" i="17" s="1"/>
  <c r="B47" i="18"/>
  <c r="D49" i="18"/>
  <c r="G74" i="19"/>
  <c r="I74" i="17"/>
  <c r="G73" i="18"/>
  <c r="BD148" i="12"/>
  <c r="E11" i="19" s="1"/>
  <c r="AU148" i="12"/>
  <c r="C11" i="19" s="1"/>
  <c r="AB148" i="12"/>
  <c r="C10" i="18" s="1"/>
  <c r="AU91" i="12"/>
  <c r="AL148" i="12"/>
  <c r="E10" i="18" s="1"/>
  <c r="AL91" i="12"/>
  <c r="AB91" i="12"/>
  <c r="BC148" i="12"/>
  <c r="AT148" i="12"/>
  <c r="AT91" i="12"/>
  <c r="AA91" i="12"/>
  <c r="AK91" i="12"/>
  <c r="AK148" i="12"/>
  <c r="AA148" i="12"/>
  <c r="Y91" i="12"/>
  <c r="AI91" i="12"/>
  <c r="AR91" i="12"/>
  <c r="AI148" i="12"/>
  <c r="AR148" i="12"/>
  <c r="Y148" i="12"/>
  <c r="BA148" i="12"/>
  <c r="D91" i="13"/>
  <c r="A92" i="13"/>
  <c r="A92" i="12"/>
  <c r="AE155" i="1" s="1"/>
  <c r="D91" i="12"/>
  <c r="W105" i="1"/>
  <c r="W106" i="1"/>
  <c r="W107" i="1"/>
  <c r="W108" i="1"/>
  <c r="W109" i="1"/>
  <c r="W110" i="1"/>
  <c r="W104" i="1"/>
  <c r="G10" i="17" l="1"/>
  <c r="W68" i="17" s="1"/>
  <c r="E10" i="17"/>
  <c r="U68" i="17" s="1"/>
  <c r="C10" i="17"/>
  <c r="S68" i="17" s="1"/>
  <c r="B42" i="17"/>
  <c r="R100" i="17" s="1"/>
  <c r="F41" i="17"/>
  <c r="V99" i="17" s="1"/>
  <c r="D41" i="17"/>
  <c r="T99" i="17" s="1"/>
  <c r="B48" i="18"/>
  <c r="D50" i="18"/>
  <c r="G74" i="18"/>
  <c r="I75" i="17"/>
  <c r="G75" i="19"/>
  <c r="AU149" i="12"/>
  <c r="C12" i="19" s="1"/>
  <c r="AL149" i="12"/>
  <c r="E11" i="18" s="1"/>
  <c r="AB149" i="12"/>
  <c r="C11" i="18" s="1"/>
  <c r="AU92" i="12"/>
  <c r="BD149" i="12"/>
  <c r="E12" i="19" s="1"/>
  <c r="AL92" i="12"/>
  <c r="AB92" i="12"/>
  <c r="AK149" i="12"/>
  <c r="AT149" i="12"/>
  <c r="AA92" i="12"/>
  <c r="AA149" i="12"/>
  <c r="BC149" i="12"/>
  <c r="AK92" i="12"/>
  <c r="AT92" i="12"/>
  <c r="BA149" i="12"/>
  <c r="Y149" i="12"/>
  <c r="AI149" i="12"/>
  <c r="AR149" i="12"/>
  <c r="AR92" i="12"/>
  <c r="Y92" i="12"/>
  <c r="AI92" i="12"/>
  <c r="A93" i="12"/>
  <c r="AE156" i="1" s="1"/>
  <c r="D92" i="12"/>
  <c r="A93" i="13"/>
  <c r="D92" i="13"/>
  <c r="E141" i="1"/>
  <c r="C33" i="2" s="1"/>
  <c r="G11" i="17" l="1"/>
  <c r="W69" i="17" s="1"/>
  <c r="E11" i="17"/>
  <c r="U69" i="17" s="1"/>
  <c r="C11" i="17"/>
  <c r="S69" i="17" s="1"/>
  <c r="B43" i="17"/>
  <c r="R101" i="17" s="1"/>
  <c r="F42" i="17"/>
  <c r="V100" i="17" s="1"/>
  <c r="D42" i="17"/>
  <c r="T100" i="17" s="1"/>
  <c r="B49" i="18"/>
  <c r="D51" i="18"/>
  <c r="G76" i="19"/>
  <c r="I76" i="17"/>
  <c r="G75" i="18"/>
  <c r="AL150" i="12"/>
  <c r="E12" i="18" s="1"/>
  <c r="AB150" i="12"/>
  <c r="C12" i="18" s="1"/>
  <c r="BD150" i="12"/>
  <c r="E13" i="19" s="1"/>
  <c r="AU150" i="12"/>
  <c r="C13" i="19" s="1"/>
  <c r="AL93" i="12"/>
  <c r="AB93" i="12"/>
  <c r="AU93" i="12"/>
  <c r="BC150" i="12"/>
  <c r="AT150" i="12"/>
  <c r="AK150" i="12"/>
  <c r="AA150" i="12"/>
  <c r="AA93" i="12"/>
  <c r="AT93" i="12"/>
  <c r="AK93" i="12"/>
  <c r="AR93" i="12"/>
  <c r="Y93" i="12"/>
  <c r="AI93" i="12"/>
  <c r="AI150" i="12"/>
  <c r="AR150" i="12"/>
  <c r="BA150" i="12"/>
  <c r="Y150" i="12"/>
  <c r="A94" i="13"/>
  <c r="D93" i="13"/>
  <c r="A94" i="12"/>
  <c r="AE157" i="1" s="1"/>
  <c r="D93" i="12"/>
  <c r="O141" i="1"/>
  <c r="Q226" i="1" s="1"/>
  <c r="C12" i="17" l="1"/>
  <c r="S70" i="17" s="1"/>
  <c r="E12" i="17"/>
  <c r="U70" i="17" s="1"/>
  <c r="G12" i="17"/>
  <c r="W70" i="17" s="1"/>
  <c r="D43" i="17"/>
  <c r="T101" i="17" s="1"/>
  <c r="F43" i="17"/>
  <c r="V101" i="17" s="1"/>
  <c r="B44" i="17"/>
  <c r="R102" i="17" s="1"/>
  <c r="D52" i="18"/>
  <c r="B50" i="18"/>
  <c r="I77" i="17"/>
  <c r="G76" i="18"/>
  <c r="G77" i="19"/>
  <c r="BD151" i="12"/>
  <c r="E14" i="19" s="1"/>
  <c r="AU151" i="12"/>
  <c r="C14" i="19" s="1"/>
  <c r="AL151" i="12"/>
  <c r="E13" i="18" s="1"/>
  <c r="AB151" i="12"/>
  <c r="C13" i="18" s="1"/>
  <c r="AL94" i="12"/>
  <c r="AB94" i="12"/>
  <c r="AU94" i="12"/>
  <c r="BC151" i="12"/>
  <c r="AT151" i="12"/>
  <c r="AK151" i="12"/>
  <c r="AA151" i="12"/>
  <c r="AK94" i="12"/>
  <c r="AT94" i="12"/>
  <c r="AA94" i="12"/>
  <c r="AR151" i="12"/>
  <c r="BA151" i="12"/>
  <c r="Y94" i="12"/>
  <c r="AR94" i="12"/>
  <c r="AI151" i="12"/>
  <c r="AI94" i="12"/>
  <c r="Y151" i="12"/>
  <c r="A95" i="12"/>
  <c r="AE158" i="1" s="1"/>
  <c r="D94" i="12"/>
  <c r="A95" i="13"/>
  <c r="D94" i="13"/>
  <c r="Q245" i="1"/>
  <c r="Q241" i="1"/>
  <c r="Q218" i="1"/>
  <c r="Q225" i="1"/>
  <c r="Q223" i="1"/>
  <c r="Q230" i="1"/>
  <c r="Q236" i="1"/>
  <c r="Q242" i="1"/>
  <c r="Q231" i="1"/>
  <c r="Q243" i="1"/>
  <c r="Q232" i="1"/>
  <c r="Q228" i="1"/>
  <c r="Q240" i="1"/>
  <c r="Q238" i="1"/>
  <c r="Q227" i="1"/>
  <c r="Q246" i="1"/>
  <c r="Q235" i="1"/>
  <c r="Q224" i="1"/>
  <c r="Q237" i="1"/>
  <c r="Q233" i="1"/>
  <c r="Q229" i="1"/>
  <c r="Q234" i="1"/>
  <c r="Q239" i="1"/>
  <c r="Q244" i="1"/>
  <c r="Q219" i="1"/>
  <c r="Q212" i="1"/>
  <c r="Q213" i="1"/>
  <c r="Q214" i="1"/>
  <c r="Q217" i="1"/>
  <c r="Q215" i="1"/>
  <c r="Q221" i="1"/>
  <c r="Q220" i="1"/>
  <c r="Q222" i="1"/>
  <c r="Q216" i="1"/>
  <c r="Q211" i="1"/>
  <c r="Q210" i="1"/>
  <c r="Q209" i="1"/>
  <c r="R105" i="1"/>
  <c r="R106" i="1"/>
  <c r="R107" i="1"/>
  <c r="R108" i="1"/>
  <c r="R109" i="1"/>
  <c r="R110" i="1"/>
  <c r="R104" i="1"/>
  <c r="C13" i="17" l="1"/>
  <c r="S71" i="17" s="1"/>
  <c r="E13" i="17"/>
  <c r="U71" i="17" s="1"/>
  <c r="G13" i="17"/>
  <c r="W71" i="17" s="1"/>
  <c r="B45" i="17"/>
  <c r="R103" i="17" s="1"/>
  <c r="D44" i="17"/>
  <c r="T102" i="17" s="1"/>
  <c r="F44" i="17"/>
  <c r="V102" i="17" s="1"/>
  <c r="B51" i="18"/>
  <c r="D53" i="18"/>
  <c r="D54" i="18" s="1"/>
  <c r="D55" i="18" s="1"/>
  <c r="D56" i="18" s="1"/>
  <c r="I78" i="17"/>
  <c r="G77" i="18"/>
  <c r="G78" i="19"/>
  <c r="BD152" i="12"/>
  <c r="E15" i="19" s="1"/>
  <c r="AU152" i="12"/>
  <c r="C15" i="19" s="1"/>
  <c r="AL152" i="12"/>
  <c r="E14" i="18" s="1"/>
  <c r="AU95" i="12"/>
  <c r="AB152" i="12"/>
  <c r="C14" i="18" s="1"/>
  <c r="AL95" i="12"/>
  <c r="AB95" i="12"/>
  <c r="AT152" i="12"/>
  <c r="AA152" i="12"/>
  <c r="AK95" i="12"/>
  <c r="BC152" i="12"/>
  <c r="AK152" i="12"/>
  <c r="AT95" i="12"/>
  <c r="AA95" i="12"/>
  <c r="AR95" i="12"/>
  <c r="AI95" i="12"/>
  <c r="Y95" i="12"/>
  <c r="Y152" i="12"/>
  <c r="BA152" i="12"/>
  <c r="AR152" i="12"/>
  <c r="AI152" i="12"/>
  <c r="D95" i="13"/>
  <c r="A96" i="13"/>
  <c r="A96" i="12"/>
  <c r="AE159" i="1" s="1"/>
  <c r="D95" i="12"/>
  <c r="G59" i="1"/>
  <c r="I16" i="2" s="1"/>
  <c r="E14" i="17" l="1"/>
  <c r="U72" i="17" s="1"/>
  <c r="G14" i="17"/>
  <c r="W72" i="17" s="1"/>
  <c r="C14" i="17"/>
  <c r="S72" i="17" s="1"/>
  <c r="B46" i="17"/>
  <c r="R104" i="17" s="1"/>
  <c r="D45" i="17"/>
  <c r="T103" i="17" s="1"/>
  <c r="F45" i="17"/>
  <c r="V103" i="17" s="1"/>
  <c r="B52" i="18"/>
  <c r="G79" i="19"/>
  <c r="I79" i="17"/>
  <c r="G78" i="18"/>
  <c r="AU153" i="12"/>
  <c r="C16" i="19" s="1"/>
  <c r="AL153" i="12"/>
  <c r="E15" i="18" s="1"/>
  <c r="BD153" i="12"/>
  <c r="E16" i="19" s="1"/>
  <c r="AB153" i="12"/>
  <c r="C15" i="18" s="1"/>
  <c r="AU96" i="12"/>
  <c r="AL96" i="12"/>
  <c r="AB96" i="12"/>
  <c r="BC153" i="12"/>
  <c r="AT153" i="12"/>
  <c r="AK153" i="12"/>
  <c r="AT96" i="12"/>
  <c r="AA96" i="12"/>
  <c r="AA153" i="12"/>
  <c r="AK96" i="12"/>
  <c r="AI153" i="12"/>
  <c r="BA153" i="12"/>
  <c r="AR96" i="12"/>
  <c r="Y96" i="12"/>
  <c r="AR153" i="12"/>
  <c r="AI96" i="12"/>
  <c r="Y153" i="12"/>
  <c r="D96" i="12"/>
  <c r="A97" i="12"/>
  <c r="AE160" i="1" s="1"/>
  <c r="A97" i="13"/>
  <c r="D96" i="13"/>
  <c r="F59" i="1"/>
  <c r="E59" i="1"/>
  <c r="D59" i="1"/>
  <c r="C15" i="17" l="1"/>
  <c r="S73" i="17" s="1"/>
  <c r="E15" i="17"/>
  <c r="U73" i="17" s="1"/>
  <c r="G15" i="17"/>
  <c r="W73" i="17" s="1"/>
  <c r="F46" i="17"/>
  <c r="V104" i="17" s="1"/>
  <c r="B47" i="17"/>
  <c r="R105" i="17" s="1"/>
  <c r="D46" i="17"/>
  <c r="T104" i="17" s="1"/>
  <c r="B53" i="18"/>
  <c r="I80" i="17"/>
  <c r="G79" i="18"/>
  <c r="G80" i="19"/>
  <c r="Z194" i="12"/>
  <c r="AS194" i="12"/>
  <c r="AJ194" i="12"/>
  <c r="BB143" i="12"/>
  <c r="BB194" i="12"/>
  <c r="AJ143" i="12"/>
  <c r="Z143" i="12"/>
  <c r="AS143" i="12"/>
  <c r="AJ86" i="12"/>
  <c r="Z86" i="12"/>
  <c r="AS86" i="12"/>
  <c r="AS193" i="12"/>
  <c r="AJ193" i="12"/>
  <c r="BB193" i="12"/>
  <c r="Z136" i="12"/>
  <c r="Z193" i="12"/>
  <c r="AS189" i="12"/>
  <c r="AS105" i="12"/>
  <c r="AJ137" i="12"/>
  <c r="AS123" i="12"/>
  <c r="AJ159" i="12"/>
  <c r="Z127" i="12"/>
  <c r="Z89" i="12"/>
  <c r="BB171" i="12"/>
  <c r="AJ87" i="12"/>
  <c r="AJ135" i="12"/>
  <c r="AJ167" i="12"/>
  <c r="AJ101" i="12"/>
  <c r="AJ170" i="12"/>
  <c r="BB191" i="12"/>
  <c r="AJ189" i="12"/>
  <c r="AS100" i="12"/>
  <c r="AJ127" i="12"/>
  <c r="AJ89" i="12"/>
  <c r="Z183" i="12"/>
  <c r="BB188" i="12"/>
  <c r="AS181" i="12"/>
  <c r="AS93" i="12"/>
  <c r="AS101" i="12"/>
  <c r="BB170" i="12"/>
  <c r="AS91" i="12"/>
  <c r="AS137" i="12"/>
  <c r="BB186" i="12"/>
  <c r="AS97" i="12"/>
  <c r="AJ106" i="12"/>
  <c r="AJ96" i="12"/>
  <c r="AS176" i="12"/>
  <c r="AJ123" i="12"/>
  <c r="Z159" i="12"/>
  <c r="BB157" i="12"/>
  <c r="Z174" i="12"/>
  <c r="Z185" i="12"/>
  <c r="AS135" i="12"/>
  <c r="Z175" i="12"/>
  <c r="AS113" i="12"/>
  <c r="AJ147" i="12"/>
  <c r="Z91" i="12"/>
  <c r="AJ129" i="12"/>
  <c r="AS182" i="12"/>
  <c r="AJ172" i="12"/>
  <c r="AS99" i="12"/>
  <c r="Z97" i="12"/>
  <c r="Z96" i="12"/>
  <c r="AS172" i="12"/>
  <c r="AJ176" i="12"/>
  <c r="AS145" i="12"/>
  <c r="AJ180" i="12"/>
  <c r="AS157" i="12"/>
  <c r="AS111" i="12"/>
  <c r="Z114" i="12"/>
  <c r="Z188" i="12"/>
  <c r="AJ192" i="12"/>
  <c r="AJ133" i="12"/>
  <c r="AJ113" i="12"/>
  <c r="AS191" i="12"/>
  <c r="Z187" i="12"/>
  <c r="AS129" i="12"/>
  <c r="Z125" i="12"/>
  <c r="AJ149" i="12"/>
  <c r="BB172" i="12"/>
  <c r="AJ119" i="12"/>
  <c r="AJ177" i="12"/>
  <c r="AJ100" i="12"/>
  <c r="Z177" i="12"/>
  <c r="AJ105" i="12"/>
  <c r="Z157" i="12"/>
  <c r="AJ111" i="12"/>
  <c r="BB174" i="12"/>
  <c r="AS183" i="12"/>
  <c r="BB185" i="12"/>
  <c r="BB167" i="12"/>
  <c r="AJ175" i="12"/>
  <c r="Z113" i="12"/>
  <c r="BB151" i="12"/>
  <c r="BB147" i="12"/>
  <c r="Z180" i="12"/>
  <c r="AS155" i="12"/>
  <c r="AS184" i="12"/>
  <c r="AJ174" i="12"/>
  <c r="Z131" i="12"/>
  <c r="Z128" i="12"/>
  <c r="AS192" i="12"/>
  <c r="AS190" i="12"/>
  <c r="BB178" i="12"/>
  <c r="Z94" i="12"/>
  <c r="AJ95" i="12"/>
  <c r="AS179" i="12"/>
  <c r="AJ179" i="12"/>
  <c r="AJ182" i="12"/>
  <c r="Z149" i="12"/>
  <c r="AS169" i="12"/>
  <c r="AS88" i="12"/>
  <c r="Z105" i="12"/>
  <c r="Z173" i="12"/>
  <c r="Z168" i="12"/>
  <c r="Z171" i="12"/>
  <c r="Z181" i="12"/>
  <c r="Z93" i="12"/>
  <c r="AJ178" i="12"/>
  <c r="AJ109" i="12"/>
  <c r="Z130" i="12"/>
  <c r="AS136" i="12"/>
  <c r="AS165" i="12"/>
  <c r="AJ153" i="12"/>
  <c r="Z176" i="12"/>
  <c r="AJ165" i="12"/>
  <c r="BB182" i="12"/>
  <c r="AS153" i="12"/>
  <c r="AJ112" i="12"/>
  <c r="AS161" i="12"/>
  <c r="Z189" i="12"/>
  <c r="AS159" i="12"/>
  <c r="AS127" i="12"/>
  <c r="AS89" i="12"/>
  <c r="AS131" i="12"/>
  <c r="AS128" i="12"/>
  <c r="AS167" i="12"/>
  <c r="AS121" i="12"/>
  <c r="AJ151" i="12"/>
  <c r="AS130" i="12"/>
  <c r="AS122" i="12"/>
  <c r="AJ108" i="12"/>
  <c r="Z106" i="12"/>
  <c r="AS96" i="12"/>
  <c r="Z169" i="12"/>
  <c r="Z161" i="12"/>
  <c r="AS120" i="12"/>
  <c r="BB189" i="12"/>
  <c r="BB173" i="12"/>
  <c r="AJ117" i="12"/>
  <c r="AJ128" i="12"/>
  <c r="BB175" i="12"/>
  <c r="AJ94" i="12"/>
  <c r="AJ120" i="12"/>
  <c r="AJ184" i="12"/>
  <c r="AJ183" i="12"/>
  <c r="Z192" i="12"/>
  <c r="AJ121" i="12"/>
  <c r="AJ103" i="12"/>
  <c r="Z122" i="12"/>
  <c r="AS163" i="12"/>
  <c r="AJ99" i="12"/>
  <c r="AJ116" i="12"/>
  <c r="AJ114" i="12"/>
  <c r="Z110" i="12"/>
  <c r="Z151" i="12"/>
  <c r="AS103" i="12"/>
  <c r="Z163" i="12"/>
  <c r="Z145" i="12"/>
  <c r="BB153" i="12"/>
  <c r="BB176" i="12"/>
  <c r="AJ102" i="12"/>
  <c r="AS168" i="12"/>
  <c r="Z87" i="12"/>
  <c r="Z190" i="12"/>
  <c r="Z147" i="12"/>
  <c r="AJ186" i="12"/>
  <c r="AS149" i="12"/>
  <c r="AJ161" i="12"/>
  <c r="AS180" i="12"/>
  <c r="AS177" i="12"/>
  <c r="AJ155" i="12"/>
  <c r="AS114" i="12"/>
  <c r="AJ181" i="12"/>
  <c r="Z133" i="12"/>
  <c r="AS109" i="12"/>
  <c r="BB159" i="12"/>
  <c r="BB168" i="12"/>
  <c r="AJ131" i="12"/>
  <c r="AS110" i="12"/>
  <c r="AS170" i="12"/>
  <c r="AS95" i="12"/>
  <c r="Z186" i="12"/>
  <c r="BB149" i="12"/>
  <c r="BB177" i="12"/>
  <c r="Z100" i="12"/>
  <c r="AS87" i="12"/>
  <c r="AS175" i="12"/>
  <c r="Z191" i="12"/>
  <c r="Z179" i="12"/>
  <c r="Z172" i="12"/>
  <c r="BB165" i="12"/>
  <c r="AS115" i="12"/>
  <c r="BB161" i="12"/>
  <c r="AS173" i="12"/>
  <c r="AS174" i="12"/>
  <c r="AS185" i="12"/>
  <c r="Z178" i="12"/>
  <c r="AS187" i="12"/>
  <c r="Z165" i="12"/>
  <c r="Z153" i="12"/>
  <c r="Z88" i="12"/>
  <c r="AJ173" i="12"/>
  <c r="BB180" i="12"/>
  <c r="BB184" i="12"/>
  <c r="BB183" i="12"/>
  <c r="BB192" i="12"/>
  <c r="AS178" i="12"/>
  <c r="AS147" i="12"/>
  <c r="AJ157" i="12"/>
  <c r="AS117" i="12"/>
  <c r="BB144" i="12"/>
  <c r="AJ190" i="12"/>
  <c r="AS94" i="12"/>
  <c r="AJ122" i="12"/>
  <c r="AS125" i="12"/>
  <c r="AJ115" i="12"/>
  <c r="Z123" i="12"/>
  <c r="Z155" i="12"/>
  <c r="BB181" i="12"/>
  <c r="AS133" i="12"/>
  <c r="AJ130" i="12"/>
  <c r="AS186" i="12"/>
  <c r="AJ107" i="12"/>
  <c r="AJ125" i="12"/>
  <c r="AS107" i="12"/>
  <c r="AJ136" i="12"/>
  <c r="AJ98" i="12"/>
  <c r="AS171" i="12"/>
  <c r="AJ110" i="12"/>
  <c r="AS151" i="12"/>
  <c r="AJ91" i="12"/>
  <c r="Z182" i="12"/>
  <c r="AJ169" i="12"/>
  <c r="Z98" i="12"/>
  <c r="AS102" i="12"/>
  <c r="AJ168" i="12"/>
  <c r="AJ188" i="12"/>
  <c r="Z167" i="12"/>
  <c r="Z170" i="12"/>
  <c r="AJ187" i="12"/>
  <c r="BB155" i="12"/>
  <c r="AJ171" i="12"/>
  <c r="AJ185" i="12"/>
  <c r="BB190" i="12"/>
  <c r="AJ191" i="12"/>
  <c r="Z129" i="12"/>
  <c r="AS106" i="12"/>
  <c r="AS119" i="12"/>
  <c r="Z102" i="12"/>
  <c r="Z117" i="12"/>
  <c r="Z135" i="12"/>
  <c r="Z121" i="12"/>
  <c r="BB187" i="12"/>
  <c r="AJ97" i="12"/>
  <c r="AJ104" i="12"/>
  <c r="BB163" i="12"/>
  <c r="BB169" i="12"/>
  <c r="Z120" i="12"/>
  <c r="Z184" i="12"/>
  <c r="AS188" i="12"/>
  <c r="AJ93" i="12"/>
  <c r="Z109" i="12"/>
  <c r="BB179" i="12"/>
  <c r="AJ163" i="12"/>
  <c r="Z119" i="12"/>
  <c r="AJ154" i="12"/>
  <c r="AS132" i="12"/>
  <c r="AS154" i="12"/>
  <c r="AS158" i="12"/>
  <c r="AJ166" i="12"/>
  <c r="BB152" i="12"/>
  <c r="AS98" i="12"/>
  <c r="AJ150" i="12"/>
  <c r="Z92" i="12"/>
  <c r="Z116" i="12"/>
  <c r="Z144" i="12"/>
  <c r="AJ90" i="12"/>
  <c r="AJ160" i="12"/>
  <c r="AS116" i="12"/>
  <c r="Z115" i="12"/>
  <c r="BB150" i="12"/>
  <c r="AJ145" i="12"/>
  <c r="AS150" i="12"/>
  <c r="Z134" i="12"/>
  <c r="AS108" i="12"/>
  <c r="AS146" i="12"/>
  <c r="AJ158" i="12"/>
  <c r="Z118" i="12"/>
  <c r="Z162" i="12"/>
  <c r="Z124" i="12"/>
  <c r="AS112" i="12"/>
  <c r="AJ148" i="12"/>
  <c r="BB156" i="12"/>
  <c r="AJ134" i="12"/>
  <c r="AS118" i="12"/>
  <c r="AJ164" i="12"/>
  <c r="Z150" i="12"/>
  <c r="AS156" i="12"/>
  <c r="Z132" i="12"/>
  <c r="AS134" i="12"/>
  <c r="Z107" i="12"/>
  <c r="Z112" i="12"/>
  <c r="AJ88" i="12"/>
  <c r="BB158" i="12"/>
  <c r="AS152" i="12"/>
  <c r="Z146" i="12"/>
  <c r="Z158" i="12"/>
  <c r="Z152" i="12"/>
  <c r="AJ92" i="12"/>
  <c r="AJ162" i="12"/>
  <c r="AJ124" i="12"/>
  <c r="Z90" i="12"/>
  <c r="Z99" i="12"/>
  <c r="Z103" i="12"/>
  <c r="AJ152" i="12"/>
  <c r="Z156" i="12"/>
  <c r="BB145" i="12"/>
  <c r="BB166" i="12"/>
  <c r="Z108" i="12"/>
  <c r="Z126" i="12"/>
  <c r="Z148" i="12"/>
  <c r="AS144" i="12"/>
  <c r="BB160" i="12"/>
  <c r="Z154" i="12"/>
  <c r="BB164" i="12"/>
  <c r="AJ144" i="12"/>
  <c r="AS90" i="12"/>
  <c r="AJ156" i="12"/>
  <c r="AJ126" i="12"/>
  <c r="Z101" i="12"/>
  <c r="Z95" i="12"/>
  <c r="AS164" i="12"/>
  <c r="AJ132" i="12"/>
  <c r="AJ146" i="12"/>
  <c r="AS160" i="12"/>
  <c r="AS166" i="12"/>
  <c r="Z166" i="12"/>
  <c r="AS92" i="12"/>
  <c r="Z104" i="12"/>
  <c r="AS124" i="12"/>
  <c r="AS148" i="12"/>
  <c r="BB154" i="12"/>
  <c r="Z111" i="12"/>
  <c r="BB148" i="12"/>
  <c r="BB162" i="12"/>
  <c r="Z164" i="12"/>
  <c r="AJ118" i="12"/>
  <c r="AS104" i="12"/>
  <c r="AS162" i="12"/>
  <c r="BB146" i="12"/>
  <c r="Z160" i="12"/>
  <c r="AS126" i="12"/>
  <c r="AL154" i="12"/>
  <c r="E16" i="18" s="1"/>
  <c r="AB154" i="12"/>
  <c r="C16" i="18" s="1"/>
  <c r="AU154" i="12"/>
  <c r="C17" i="19" s="1"/>
  <c r="AU97" i="12"/>
  <c r="AL97" i="12"/>
  <c r="AB97" i="12"/>
  <c r="BD154" i="12"/>
  <c r="E17" i="19" s="1"/>
  <c r="BC154" i="12"/>
  <c r="AK154" i="12"/>
  <c r="AK97" i="12"/>
  <c r="AT154" i="12"/>
  <c r="AA154" i="12"/>
  <c r="AT97" i="12"/>
  <c r="AA97" i="12"/>
  <c r="AI97" i="12"/>
  <c r="Y97" i="12"/>
  <c r="AR97" i="12"/>
  <c r="BA154" i="12"/>
  <c r="AI154" i="12"/>
  <c r="AR154" i="12"/>
  <c r="Y154" i="12"/>
  <c r="A98" i="12"/>
  <c r="AE161" i="1" s="1"/>
  <c r="D97" i="12"/>
  <c r="A98" i="13"/>
  <c r="D97" i="13"/>
  <c r="D77" i="1"/>
  <c r="Q77" i="1"/>
  <c r="I17" i="2"/>
  <c r="I18" i="2"/>
  <c r="D76" i="1"/>
  <c r="D74" i="1"/>
  <c r="D73" i="1"/>
  <c r="D78" i="1"/>
  <c r="D75" i="1"/>
  <c r="D79" i="1"/>
  <c r="G16" i="17" l="1"/>
  <c r="W74" i="17" s="1"/>
  <c r="C16" i="17"/>
  <c r="S74" i="17" s="1"/>
  <c r="E16" i="17"/>
  <c r="U74" i="17" s="1"/>
  <c r="B48" i="17"/>
  <c r="R106" i="17" s="1"/>
  <c r="D47" i="17"/>
  <c r="T105" i="17" s="1"/>
  <c r="F47" i="17"/>
  <c r="V105" i="17" s="1"/>
  <c r="B54" i="18"/>
  <c r="I81" i="17"/>
  <c r="G80" i="18"/>
  <c r="G81" i="19"/>
  <c r="BD155" i="12"/>
  <c r="E18" i="19" s="1"/>
  <c r="AB155" i="12"/>
  <c r="C17" i="18" s="1"/>
  <c r="AU155" i="12"/>
  <c r="C18" i="19" s="1"/>
  <c r="AL98" i="12"/>
  <c r="AB98" i="12"/>
  <c r="AL155" i="12"/>
  <c r="E17" i="18" s="1"/>
  <c r="AU98" i="12"/>
  <c r="AT155" i="12"/>
  <c r="AA155" i="12"/>
  <c r="BC155" i="12"/>
  <c r="AK98" i="12"/>
  <c r="AK155" i="12"/>
  <c r="AA98" i="12"/>
  <c r="AT98" i="12"/>
  <c r="AI155" i="12"/>
  <c r="AI98" i="12"/>
  <c r="Y155" i="12"/>
  <c r="Y98" i="12"/>
  <c r="AR155" i="12"/>
  <c r="BA155" i="12"/>
  <c r="AR98" i="12"/>
  <c r="A99" i="12"/>
  <c r="AE162" i="1" s="1"/>
  <c r="D98" i="12"/>
  <c r="D98" i="13"/>
  <c r="A99" i="13"/>
  <c r="B141" i="1"/>
  <c r="L14" i="2" s="1"/>
  <c r="C72" i="1"/>
  <c r="V105" i="1" s="1"/>
  <c r="A210" i="1"/>
  <c r="A211" i="1"/>
  <c r="A212" i="1"/>
  <c r="A213" i="1"/>
  <c r="A214" i="1"/>
  <c r="A215" i="1"/>
  <c r="A216" i="1"/>
  <c r="A217" i="1"/>
  <c r="A218" i="1"/>
  <c r="A219" i="1"/>
  <c r="A220" i="1"/>
  <c r="A221" i="1"/>
  <c r="A222" i="1"/>
  <c r="A223" i="1"/>
  <c r="G17" i="17" l="1"/>
  <c r="W75" i="17" s="1"/>
  <c r="C17" i="17"/>
  <c r="S75" i="17" s="1"/>
  <c r="E17" i="17"/>
  <c r="U75" i="17" s="1"/>
  <c r="D48" i="17"/>
  <c r="T106" i="17" s="1"/>
  <c r="F48" i="17"/>
  <c r="V106" i="17" s="1"/>
  <c r="B49" i="17"/>
  <c r="R107" i="17" s="1"/>
  <c r="B55" i="18"/>
  <c r="B56" i="18" s="1"/>
  <c r="G81" i="18"/>
  <c r="G82" i="19"/>
  <c r="I82" i="17"/>
  <c r="BD156" i="12"/>
  <c r="E19" i="19" s="1"/>
  <c r="AU156" i="12"/>
  <c r="C19" i="19" s="1"/>
  <c r="AU99" i="12"/>
  <c r="AL156" i="12"/>
  <c r="E18" i="18" s="1"/>
  <c r="AB156" i="12"/>
  <c r="C18" i="18" s="1"/>
  <c r="AL99" i="12"/>
  <c r="AB99" i="12"/>
  <c r="BC156" i="12"/>
  <c r="AT156" i="12"/>
  <c r="AK156" i="12"/>
  <c r="AA156" i="12"/>
  <c r="AK99" i="12"/>
  <c r="AA99" i="12"/>
  <c r="AT99" i="12"/>
  <c r="AI99" i="12"/>
  <c r="AR99" i="12"/>
  <c r="Y156" i="12"/>
  <c r="AR156" i="12"/>
  <c r="BA156" i="12"/>
  <c r="Y99" i="12"/>
  <c r="AI156" i="12"/>
  <c r="D99" i="13"/>
  <c r="A100" i="13"/>
  <c r="A100" i="12"/>
  <c r="AE163" i="1" s="1"/>
  <c r="D99" i="12"/>
  <c r="V107" i="1"/>
  <c r="V110" i="1"/>
  <c r="V108" i="1"/>
  <c r="V104" i="1"/>
  <c r="V106" i="1"/>
  <c r="V109" i="1"/>
  <c r="C18" i="17" l="1"/>
  <c r="S76" i="17" s="1"/>
  <c r="G18" i="17"/>
  <c r="W76" i="17" s="1"/>
  <c r="E18" i="17"/>
  <c r="U76" i="17" s="1"/>
  <c r="B50" i="17"/>
  <c r="R108" i="17" s="1"/>
  <c r="D49" i="17"/>
  <c r="T107" i="17" s="1"/>
  <c r="F49" i="17"/>
  <c r="V107" i="17" s="1"/>
  <c r="G83" i="19"/>
  <c r="I83" i="17"/>
  <c r="G82" i="18"/>
  <c r="AU157" i="12"/>
  <c r="C20" i="19" s="1"/>
  <c r="AL157" i="12"/>
  <c r="E19" i="18" s="1"/>
  <c r="BD157" i="12"/>
  <c r="E20" i="19" s="1"/>
  <c r="AB157" i="12"/>
  <c r="C19" i="18" s="1"/>
  <c r="AL100" i="12"/>
  <c r="AB100" i="12"/>
  <c r="AU100" i="12"/>
  <c r="AK157" i="12"/>
  <c r="AA157" i="12"/>
  <c r="AT157" i="12"/>
  <c r="BC157" i="12"/>
  <c r="AT100" i="12"/>
  <c r="AK100" i="12"/>
  <c r="AA100" i="12"/>
  <c r="BA157" i="12"/>
  <c r="Y157" i="12"/>
  <c r="Y100" i="12"/>
  <c r="AR100" i="12"/>
  <c r="AI157" i="12"/>
  <c r="AI100" i="12"/>
  <c r="AR157" i="12"/>
  <c r="A101" i="13"/>
  <c r="D100" i="13"/>
  <c r="A101" i="12"/>
  <c r="AE164" i="1" s="1"/>
  <c r="D100" i="12"/>
  <c r="A16" i="1"/>
  <c r="L26" i="1"/>
  <c r="E19" i="17" l="1"/>
  <c r="U77" i="17" s="1"/>
  <c r="G19" i="17"/>
  <c r="W77" i="17" s="1"/>
  <c r="C19" i="17"/>
  <c r="S77" i="17" s="1"/>
  <c r="D50" i="17"/>
  <c r="T108" i="17" s="1"/>
  <c r="B51" i="17"/>
  <c r="R109" i="17" s="1"/>
  <c r="F50" i="17"/>
  <c r="V108" i="17" s="1"/>
  <c r="G83" i="18"/>
  <c r="I84" i="17"/>
  <c r="G84" i="19"/>
  <c r="AL158" i="12"/>
  <c r="E20" i="18" s="1"/>
  <c r="AB158" i="12"/>
  <c r="C20" i="18" s="1"/>
  <c r="BD158" i="12"/>
  <c r="E21" i="19" s="1"/>
  <c r="AU101" i="12"/>
  <c r="AL101" i="12"/>
  <c r="AB101" i="12"/>
  <c r="AU158" i="12"/>
  <c r="C21" i="19" s="1"/>
  <c r="AA158" i="12"/>
  <c r="BC158" i="12"/>
  <c r="AK158" i="12"/>
  <c r="AT158" i="12"/>
  <c r="AT101" i="12"/>
  <c r="AA101" i="12"/>
  <c r="AK101" i="12"/>
  <c r="AI101" i="12"/>
  <c r="AR101" i="12"/>
  <c r="Y158" i="12"/>
  <c r="AI158" i="12"/>
  <c r="Y101" i="12"/>
  <c r="BA158" i="12"/>
  <c r="AR158" i="12"/>
  <c r="A102" i="13"/>
  <c r="D101" i="13"/>
  <c r="D101" i="12"/>
  <c r="A102" i="12"/>
  <c r="AE165" i="1" s="1"/>
  <c r="B16" i="1"/>
  <c r="G32" i="1" l="1"/>
  <c r="G30" i="1"/>
  <c r="G28" i="1"/>
  <c r="G26" i="1"/>
  <c r="G25" i="1"/>
  <c r="G20" i="17"/>
  <c r="W78" i="17" s="1"/>
  <c r="C20" i="17"/>
  <c r="S78" i="17" s="1"/>
  <c r="E20" i="17"/>
  <c r="U78" i="17" s="1"/>
  <c r="B52" i="17"/>
  <c r="R110" i="17" s="1"/>
  <c r="D51" i="17"/>
  <c r="T109" i="17" s="1"/>
  <c r="F51" i="17"/>
  <c r="V109" i="17" s="1"/>
  <c r="G85" i="19"/>
  <c r="I85" i="17"/>
  <c r="G84" i="18"/>
  <c r="BD159" i="12"/>
  <c r="E22" i="19" s="1"/>
  <c r="AU159" i="12"/>
  <c r="C22" i="19" s="1"/>
  <c r="AL159" i="12"/>
  <c r="E21" i="18" s="1"/>
  <c r="AB159" i="12"/>
  <c r="C21" i="18" s="1"/>
  <c r="AL102" i="12"/>
  <c r="AB102" i="12"/>
  <c r="AU102" i="12"/>
  <c r="AT159" i="12"/>
  <c r="AK159" i="12"/>
  <c r="AA159" i="12"/>
  <c r="AK102" i="12"/>
  <c r="BC159" i="12"/>
  <c r="AT102" i="12"/>
  <c r="AA102" i="12"/>
  <c r="AI102" i="12"/>
  <c r="AI159" i="12"/>
  <c r="Y102" i="12"/>
  <c r="AR102" i="12"/>
  <c r="BA159" i="12"/>
  <c r="Y159" i="12"/>
  <c r="AR159" i="12"/>
  <c r="A103" i="13"/>
  <c r="D102" i="13"/>
  <c r="A103" i="12"/>
  <c r="AE166" i="1" s="1"/>
  <c r="D102" i="12"/>
  <c r="N16" i="1"/>
  <c r="B16" i="2" s="1"/>
  <c r="M16" i="1"/>
  <c r="M26" i="1" s="1"/>
  <c r="L157" i="1"/>
  <c r="L158" i="1"/>
  <c r="L159" i="1"/>
  <c r="L160" i="1"/>
  <c r="L156" i="1"/>
  <c r="F420" i="1"/>
  <c r="E420" i="1"/>
  <c r="F419" i="1"/>
  <c r="E419" i="1"/>
  <c r="E418" i="1"/>
  <c r="F418" i="1"/>
  <c r="E417" i="1"/>
  <c r="F417" i="1"/>
  <c r="F416" i="1"/>
  <c r="E416" i="1"/>
  <c r="F415" i="1"/>
  <c r="E415" i="1"/>
  <c r="F414" i="1"/>
  <c r="E414" i="1"/>
  <c r="F413" i="1"/>
  <c r="E413" i="1"/>
  <c r="E412" i="1"/>
  <c r="F412" i="1"/>
  <c r="F411" i="1"/>
  <c r="E411" i="1"/>
  <c r="G21" i="17" l="1"/>
  <c r="W79" i="17" s="1"/>
  <c r="C21" i="17"/>
  <c r="S79" i="17" s="1"/>
  <c r="E21" i="17"/>
  <c r="U79" i="17" s="1"/>
  <c r="D52" i="17"/>
  <c r="T110" i="17" s="1"/>
  <c r="B53" i="17"/>
  <c r="R111" i="17" s="1"/>
  <c r="F52" i="17"/>
  <c r="V110" i="17" s="1"/>
  <c r="G85" i="18"/>
  <c r="I86" i="17"/>
  <c r="G86" i="19"/>
  <c r="BD160" i="12"/>
  <c r="E23" i="19" s="1"/>
  <c r="AU160" i="12"/>
  <c r="C23" i="19" s="1"/>
  <c r="AL160" i="12"/>
  <c r="E22" i="18" s="1"/>
  <c r="AB160" i="12"/>
  <c r="C22" i="18" s="1"/>
  <c r="AU103" i="12"/>
  <c r="AL103" i="12"/>
  <c r="AB103" i="12"/>
  <c r="AA160" i="12"/>
  <c r="BC160" i="12"/>
  <c r="AT103" i="12"/>
  <c r="AA103" i="12"/>
  <c r="AK103" i="12"/>
  <c r="AT160" i="12"/>
  <c r="AK160" i="12"/>
  <c r="AR103" i="12"/>
  <c r="AI103" i="12"/>
  <c r="AR160" i="12"/>
  <c r="Y103" i="12"/>
  <c r="Y160" i="12"/>
  <c r="BA160" i="12"/>
  <c r="AI160" i="12"/>
  <c r="A104" i="13"/>
  <c r="D103" i="13"/>
  <c r="A104" i="12"/>
  <c r="AE167" i="1" s="1"/>
  <c r="D103" i="12"/>
  <c r="N156" i="1"/>
  <c r="H115" i="1"/>
  <c r="B41" i="2"/>
  <c r="B40" i="2"/>
  <c r="B39" i="2"/>
  <c r="B38" i="2"/>
  <c r="B37" i="2"/>
  <c r="F115" i="1"/>
  <c r="C22" i="17" l="1"/>
  <c r="S80" i="17" s="1"/>
  <c r="E22" i="17"/>
  <c r="U80" i="17" s="1"/>
  <c r="G22" i="17"/>
  <c r="W80" i="17" s="1"/>
  <c r="D53" i="17"/>
  <c r="T111" i="17" s="1"/>
  <c r="F53" i="17"/>
  <c r="V111" i="17" s="1"/>
  <c r="B54" i="17"/>
  <c r="R112" i="17" s="1"/>
  <c r="I87" i="17"/>
  <c r="G87" i="19"/>
  <c r="G86" i="18"/>
  <c r="AU161" i="12"/>
  <c r="C24" i="19" s="1"/>
  <c r="AL161" i="12"/>
  <c r="E23" i="18" s="1"/>
  <c r="BD161" i="12"/>
  <c r="E24" i="19" s="1"/>
  <c r="AB161" i="12"/>
  <c r="C23" i="18" s="1"/>
  <c r="AL104" i="12"/>
  <c r="AB104" i="12"/>
  <c r="AU104" i="12"/>
  <c r="BC161" i="12"/>
  <c r="AA161" i="12"/>
  <c r="AK161" i="12"/>
  <c r="AT161" i="12"/>
  <c r="AK104" i="12"/>
  <c r="AT104" i="12"/>
  <c r="AA104" i="12"/>
  <c r="Y161" i="12"/>
  <c r="AI104" i="12"/>
  <c r="BA161" i="12"/>
  <c r="AR161" i="12"/>
  <c r="AI161" i="12"/>
  <c r="AR104" i="12"/>
  <c r="Y104" i="12"/>
  <c r="A105" i="13"/>
  <c r="D104" i="13"/>
  <c r="D104" i="12"/>
  <c r="A105" i="12"/>
  <c r="AE168" i="1" s="1"/>
  <c r="K16" i="1"/>
  <c r="C23" i="17" l="1"/>
  <c r="S81" i="17" s="1"/>
  <c r="G23" i="17"/>
  <c r="W81" i="17" s="1"/>
  <c r="E23" i="17"/>
  <c r="U81" i="17" s="1"/>
  <c r="F54" i="17"/>
  <c r="V112" i="17" s="1"/>
  <c r="D54" i="17"/>
  <c r="T112" i="17" s="1"/>
  <c r="B55" i="17"/>
  <c r="R113" i="17" s="1"/>
  <c r="G87" i="18"/>
  <c r="I88" i="17"/>
  <c r="G88" i="19"/>
  <c r="AL162" i="12"/>
  <c r="E24" i="18" s="1"/>
  <c r="AB162" i="12"/>
  <c r="C24" i="18" s="1"/>
  <c r="AU162" i="12"/>
  <c r="C25" i="19" s="1"/>
  <c r="BD162" i="12"/>
  <c r="E25" i="19" s="1"/>
  <c r="AL105" i="12"/>
  <c r="AB105" i="12"/>
  <c r="AU105" i="12"/>
  <c r="BC162" i="12"/>
  <c r="AT162" i="12"/>
  <c r="AK162" i="12"/>
  <c r="AA162" i="12"/>
  <c r="AA105" i="12"/>
  <c r="AK105" i="12"/>
  <c r="AT105" i="12"/>
  <c r="Y105" i="12"/>
  <c r="AR105" i="12"/>
  <c r="AI105" i="12"/>
  <c r="BA162" i="12"/>
  <c r="AI162" i="12"/>
  <c r="Y162" i="12"/>
  <c r="AR162" i="12"/>
  <c r="A106" i="13"/>
  <c r="D105" i="13"/>
  <c r="A106" i="12"/>
  <c r="AE169" i="1" s="1"/>
  <c r="D105" i="12"/>
  <c r="S25" i="1"/>
  <c r="G24" i="17" l="1"/>
  <c r="W82" i="17" s="1"/>
  <c r="C24" i="17"/>
  <c r="S82" i="17" s="1"/>
  <c r="E24" i="17"/>
  <c r="U82" i="17" s="1"/>
  <c r="D55" i="17"/>
  <c r="T113" i="17" s="1"/>
  <c r="B56" i="17"/>
  <c r="R114" i="17" s="1"/>
  <c r="F55" i="17"/>
  <c r="V113" i="17" s="1"/>
  <c r="G89" i="19"/>
  <c r="I89" i="17"/>
  <c r="G88" i="18"/>
  <c r="BD163" i="12"/>
  <c r="E26" i="19" s="1"/>
  <c r="AL163" i="12"/>
  <c r="E25" i="18" s="1"/>
  <c r="AU106" i="12"/>
  <c r="AL106" i="12"/>
  <c r="AB106" i="12"/>
  <c r="AB163" i="12"/>
  <c r="C25" i="18" s="1"/>
  <c r="AU163" i="12"/>
  <c r="C26" i="19" s="1"/>
  <c r="BC163" i="12"/>
  <c r="AT163" i="12"/>
  <c r="AK163" i="12"/>
  <c r="AA163" i="12"/>
  <c r="AK106" i="12"/>
  <c r="AT106" i="12"/>
  <c r="AA106" i="12"/>
  <c r="AI163" i="12"/>
  <c r="Y163" i="12"/>
  <c r="BA163" i="12"/>
  <c r="Y106" i="12"/>
  <c r="AR106" i="12"/>
  <c r="AR163" i="12"/>
  <c r="AI106" i="12"/>
  <c r="A107" i="12"/>
  <c r="AE170" i="1" s="1"/>
  <c r="D106" i="12"/>
  <c r="D106" i="13"/>
  <c r="A107" i="13"/>
  <c r="C16" i="1"/>
  <c r="L31" i="1" s="1"/>
  <c r="I18" i="1"/>
  <c r="M29" i="1" s="1"/>
  <c r="E32" i="1" s="1"/>
  <c r="A20" i="2" s="1"/>
  <c r="I17" i="1"/>
  <c r="M28" i="1" s="1"/>
  <c r="E30" i="1" s="1"/>
  <c r="A19" i="2" s="1"/>
  <c r="H16" i="1"/>
  <c r="B20" i="2" s="1"/>
  <c r="G16" i="1"/>
  <c r="L25" i="1"/>
  <c r="L24" i="1"/>
  <c r="L23" i="1"/>
  <c r="F18" i="1"/>
  <c r="F17" i="1"/>
  <c r="E16" i="1"/>
  <c r="D16" i="1"/>
  <c r="G15" i="1" l="1"/>
  <c r="B19" i="2"/>
  <c r="B18" i="2"/>
  <c r="D15" i="1"/>
  <c r="C25" i="17"/>
  <c r="S83" i="17" s="1"/>
  <c r="E25" i="17"/>
  <c r="U83" i="17" s="1"/>
  <c r="G25" i="17"/>
  <c r="W83" i="17" s="1"/>
  <c r="D56" i="17"/>
  <c r="T114" i="17" s="1"/>
  <c r="S114" i="17"/>
  <c r="F56" i="17"/>
  <c r="V114" i="17" s="1"/>
  <c r="G89" i="18"/>
  <c r="I90" i="17"/>
  <c r="G90" i="19"/>
  <c r="BD164" i="12"/>
  <c r="E27" i="19" s="1"/>
  <c r="AU164" i="12"/>
  <c r="C27" i="19" s="1"/>
  <c r="AB164" i="12"/>
  <c r="C26" i="18" s="1"/>
  <c r="AU107" i="12"/>
  <c r="AL164" i="12"/>
  <c r="E26" i="18" s="1"/>
  <c r="AL107" i="12"/>
  <c r="AB107" i="12"/>
  <c r="AT164" i="12"/>
  <c r="AK164" i="12"/>
  <c r="BC164" i="12"/>
  <c r="AA107" i="12"/>
  <c r="AT107" i="12"/>
  <c r="AK107" i="12"/>
  <c r="AA164" i="12"/>
  <c r="AR107" i="12"/>
  <c r="AI107" i="12"/>
  <c r="BA164" i="12"/>
  <c r="Y107" i="12"/>
  <c r="AR164" i="12"/>
  <c r="Y164" i="12"/>
  <c r="AI164" i="12"/>
  <c r="A108" i="12"/>
  <c r="AE171" i="1" s="1"/>
  <c r="D107" i="12"/>
  <c r="A108" i="13"/>
  <c r="D107" i="13"/>
  <c r="B26" i="2"/>
  <c r="O11" i="1"/>
  <c r="D130" i="1" s="1"/>
  <c r="O8" i="1"/>
  <c r="D127" i="1" s="1"/>
  <c r="O12" i="1"/>
  <c r="D131" i="1" s="1"/>
  <c r="O9" i="1"/>
  <c r="D128" i="1" s="1"/>
  <c r="O13" i="1"/>
  <c r="D132" i="1" s="1"/>
  <c r="O10" i="1"/>
  <c r="D129" i="1" s="1"/>
  <c r="O7" i="1"/>
  <c r="D126" i="1" s="1"/>
  <c r="C38" i="1"/>
  <c r="C39" i="1" s="1"/>
  <c r="C41" i="1"/>
  <c r="W130" i="1" s="1"/>
  <c r="M24" i="1"/>
  <c r="M23" i="1"/>
  <c r="E25" i="1" s="1"/>
  <c r="A14" i="2" s="1"/>
  <c r="M25" i="1"/>
  <c r="E28" i="1" l="1"/>
  <c r="A18" i="2" s="1"/>
  <c r="E26" i="1"/>
  <c r="B14" i="2"/>
  <c r="C26" i="17"/>
  <c r="S84" i="17" s="1"/>
  <c r="E26" i="17"/>
  <c r="U84" i="17" s="1"/>
  <c r="G26" i="17"/>
  <c r="W84" i="17" s="1"/>
  <c r="U114" i="17"/>
  <c r="W114" i="17"/>
  <c r="D134" i="1"/>
  <c r="D133" i="1"/>
  <c r="G91" i="19"/>
  <c r="I91" i="17"/>
  <c r="G90" i="18"/>
  <c r="AU165" i="12"/>
  <c r="C28" i="19" s="1"/>
  <c r="AL165" i="12"/>
  <c r="E27" i="18" s="1"/>
  <c r="AB165" i="12"/>
  <c r="C27" i="18" s="1"/>
  <c r="BD165" i="12"/>
  <c r="E28" i="19" s="1"/>
  <c r="AU108" i="12"/>
  <c r="AL108" i="12"/>
  <c r="AB108" i="12"/>
  <c r="AT165" i="12"/>
  <c r="AA165" i="12"/>
  <c r="AT108" i="12"/>
  <c r="AK165" i="12"/>
  <c r="AK108" i="12"/>
  <c r="BC165" i="12"/>
  <c r="AA108" i="12"/>
  <c r="BA165" i="12"/>
  <c r="AI108" i="12"/>
  <c r="AI165" i="12"/>
  <c r="Y165" i="12"/>
  <c r="AR165" i="12"/>
  <c r="AR108" i="12"/>
  <c r="Y108" i="12"/>
  <c r="A109" i="12"/>
  <c r="AE172" i="1" s="1"/>
  <c r="D108" i="12"/>
  <c r="A109" i="13"/>
  <c r="D108" i="13"/>
  <c r="Q9" i="1"/>
  <c r="F128" i="1" s="1"/>
  <c r="Q13" i="1"/>
  <c r="F132" i="1" s="1"/>
  <c r="Q10" i="1"/>
  <c r="F129" i="1" s="1"/>
  <c r="Q7" i="1"/>
  <c r="F126" i="1" s="1"/>
  <c r="Q11" i="1"/>
  <c r="F130" i="1" s="1"/>
  <c r="Q8" i="1"/>
  <c r="F127" i="1" s="1"/>
  <c r="Q12" i="1"/>
  <c r="F131" i="1" s="1"/>
  <c r="P9" i="1"/>
  <c r="E128" i="1" s="1"/>
  <c r="P13" i="1"/>
  <c r="E132" i="1" s="1"/>
  <c r="P8" i="1"/>
  <c r="E127" i="1" s="1"/>
  <c r="P10" i="1"/>
  <c r="E129" i="1" s="1"/>
  <c r="P7" i="1"/>
  <c r="E126" i="1" s="1"/>
  <c r="P11" i="1"/>
  <c r="E130" i="1" s="1"/>
  <c r="P12" i="1"/>
  <c r="E131" i="1" s="1"/>
  <c r="R8" i="1"/>
  <c r="G127" i="1" s="1"/>
  <c r="R12" i="1"/>
  <c r="G131" i="1" s="1"/>
  <c r="R7" i="1"/>
  <c r="G126" i="1" s="1"/>
  <c r="R11" i="1"/>
  <c r="G130" i="1" s="1"/>
  <c r="R9" i="1"/>
  <c r="G128" i="1" s="1"/>
  <c r="R13" i="1"/>
  <c r="G132" i="1" s="1"/>
  <c r="R10" i="1"/>
  <c r="G129" i="1" s="1"/>
  <c r="AD13" i="1"/>
  <c r="AD9" i="1"/>
  <c r="AC12" i="1"/>
  <c r="AC8" i="1"/>
  <c r="AD12" i="1"/>
  <c r="AD8" i="1"/>
  <c r="AC11" i="1"/>
  <c r="AC7" i="1"/>
  <c r="AC13" i="1"/>
  <c r="AD11" i="1"/>
  <c r="AD7" i="1"/>
  <c r="AC10" i="1"/>
  <c r="AD10" i="1"/>
  <c r="AC9" i="1"/>
  <c r="J43" i="1"/>
  <c r="C43" i="1" s="1"/>
  <c r="C40" i="1"/>
  <c r="AI12" i="1"/>
  <c r="AI9" i="1"/>
  <c r="AI7" i="1"/>
  <c r="AI13" i="1"/>
  <c r="AI8" i="1"/>
  <c r="AI11" i="1"/>
  <c r="AI10" i="1"/>
  <c r="J45" i="1"/>
  <c r="C45" i="1" s="1"/>
  <c r="AA11" i="1"/>
  <c r="AA8" i="1"/>
  <c r="AA7" i="1"/>
  <c r="AA13" i="1"/>
  <c r="AA9" i="1"/>
  <c r="AA12" i="1"/>
  <c r="AA10" i="1"/>
  <c r="L29" i="1"/>
  <c r="E33" i="1" l="1"/>
  <c r="N46" i="1" s="1"/>
  <c r="B17" i="2"/>
  <c r="A17" i="2"/>
  <c r="S123" i="1"/>
  <c r="U131" i="1" s="1"/>
  <c r="Q123" i="1"/>
  <c r="U129" i="1" s="1"/>
  <c r="C27" i="17"/>
  <c r="S85" i="17" s="1"/>
  <c r="G27" i="17"/>
  <c r="W85" i="17" s="1"/>
  <c r="E27" i="17"/>
  <c r="U85" i="17" s="1"/>
  <c r="F133" i="1"/>
  <c r="F134" i="1"/>
  <c r="E133" i="1"/>
  <c r="E134" i="1"/>
  <c r="G134" i="1"/>
  <c r="G133" i="1"/>
  <c r="I92" i="17"/>
  <c r="G91" i="18"/>
  <c r="G92" i="19"/>
  <c r="AL166" i="12"/>
  <c r="E28" i="18" s="1"/>
  <c r="AB166" i="12"/>
  <c r="C28" i="18" s="1"/>
  <c r="BD166" i="12"/>
  <c r="E29" i="19" s="1"/>
  <c r="AU166" i="12"/>
  <c r="C29" i="19" s="1"/>
  <c r="AL109" i="12"/>
  <c r="AB109" i="12"/>
  <c r="AU109" i="12"/>
  <c r="AK166" i="12"/>
  <c r="AA166" i="12"/>
  <c r="AT166" i="12"/>
  <c r="BC166" i="12"/>
  <c r="AA109" i="12"/>
  <c r="AT109" i="12"/>
  <c r="AK109" i="12"/>
  <c r="AI109" i="12"/>
  <c r="AR109" i="12"/>
  <c r="Y109" i="12"/>
  <c r="AI166" i="12"/>
  <c r="BA166" i="12"/>
  <c r="Y166" i="12"/>
  <c r="AR166" i="12"/>
  <c r="A110" i="13"/>
  <c r="D109" i="13"/>
  <c r="A110" i="12"/>
  <c r="AE173" i="1" s="1"/>
  <c r="D109" i="12"/>
  <c r="U106" i="1"/>
  <c r="U110" i="1"/>
  <c r="U107" i="1"/>
  <c r="U104" i="1"/>
  <c r="U108" i="1"/>
  <c r="U105" i="1"/>
  <c r="U109" i="1"/>
  <c r="H40" i="1"/>
  <c r="AE7" i="1"/>
  <c r="J126" i="1" s="1"/>
  <c r="J42" i="1"/>
  <c r="J44" i="1"/>
  <c r="AE9" i="1"/>
  <c r="J128" i="1" s="1"/>
  <c r="AE8" i="1"/>
  <c r="J127" i="1" s="1"/>
  <c r="M8" i="1"/>
  <c r="F50" i="2" s="1"/>
  <c r="AE12" i="1"/>
  <c r="J131" i="1" s="1"/>
  <c r="AE11" i="1"/>
  <c r="J130" i="1" s="1"/>
  <c r="AE13" i="1"/>
  <c r="J132" i="1" s="1"/>
  <c r="AE10" i="1"/>
  <c r="J129" i="1" s="1"/>
  <c r="K45" i="1" l="1"/>
  <c r="N45" i="1"/>
  <c r="K46" i="1"/>
  <c r="AG139" i="1"/>
  <c r="C28" i="17"/>
  <c r="S86" i="17" s="1"/>
  <c r="E28" i="17"/>
  <c r="U86" i="17" s="1"/>
  <c r="G28" i="17"/>
  <c r="W86" i="17" s="1"/>
  <c r="J134" i="1"/>
  <c r="J133" i="1"/>
  <c r="G93" i="19"/>
  <c r="I93" i="17"/>
  <c r="G92" i="18"/>
  <c r="BD167" i="12"/>
  <c r="E30" i="19" s="1"/>
  <c r="AU167" i="12"/>
  <c r="C30" i="19" s="1"/>
  <c r="AL167" i="12"/>
  <c r="E29" i="18" s="1"/>
  <c r="AL110" i="12"/>
  <c r="AB110" i="12"/>
  <c r="AB167" i="12"/>
  <c r="C29" i="18" s="1"/>
  <c r="AU110" i="12"/>
  <c r="AT167" i="12"/>
  <c r="BC167" i="12"/>
  <c r="AK167" i="12"/>
  <c r="AA110" i="12"/>
  <c r="AK110" i="12"/>
  <c r="AA167" i="12"/>
  <c r="AT110" i="12"/>
  <c r="Y167" i="12"/>
  <c r="Y110" i="12"/>
  <c r="AI110" i="12"/>
  <c r="AI167" i="12"/>
  <c r="AR110" i="12"/>
  <c r="BA167" i="12"/>
  <c r="AR167" i="12"/>
  <c r="A111" i="12"/>
  <c r="AE174" i="1" s="1"/>
  <c r="D110" i="12"/>
  <c r="A111" i="13"/>
  <c r="D110" i="13"/>
  <c r="N8" i="1"/>
  <c r="C127" i="1" s="1"/>
  <c r="I44" i="1"/>
  <c r="I45" i="1" s="1"/>
  <c r="I42" i="1"/>
  <c r="I43" i="1" s="1"/>
  <c r="J39" i="1" s="1"/>
  <c r="Y8" i="1"/>
  <c r="X8" i="1"/>
  <c r="I38" i="1"/>
  <c r="AJ8" i="1"/>
  <c r="M10" i="1"/>
  <c r="F52" i="2" s="1"/>
  <c r="L28" i="1"/>
  <c r="M7" i="1"/>
  <c r="M13" i="1"/>
  <c r="F55" i="2" s="1"/>
  <c r="M12" i="1"/>
  <c r="F54" i="2" s="1"/>
  <c r="M9" i="1"/>
  <c r="F51" i="2" s="1"/>
  <c r="M11" i="1"/>
  <c r="F53" i="2" s="1"/>
  <c r="T8" i="1"/>
  <c r="V8" i="1" s="1"/>
  <c r="D50" i="2" s="1"/>
  <c r="AB8" i="1"/>
  <c r="I127" i="1" s="1"/>
  <c r="AG144" i="1" l="1"/>
  <c r="AG142" i="1"/>
  <c r="AG140" i="1"/>
  <c r="AG143" i="1"/>
  <c r="AG141" i="1"/>
  <c r="E29" i="17"/>
  <c r="U87" i="17" s="1"/>
  <c r="G29" i="17"/>
  <c r="W87" i="17" s="1"/>
  <c r="C29" i="17"/>
  <c r="S87" i="17" s="1"/>
  <c r="G93" i="18"/>
  <c r="I94" i="17"/>
  <c r="G94" i="19"/>
  <c r="BD168" i="12"/>
  <c r="E31" i="19" s="1"/>
  <c r="AU168" i="12"/>
  <c r="C31" i="19" s="1"/>
  <c r="AL168" i="12"/>
  <c r="E30" i="18" s="1"/>
  <c r="AU111" i="12"/>
  <c r="AB168" i="12"/>
  <c r="C30" i="18" s="1"/>
  <c r="AL111" i="12"/>
  <c r="AB111" i="12"/>
  <c r="BC168" i="12"/>
  <c r="AT168" i="12"/>
  <c r="AA168" i="12"/>
  <c r="AK168" i="12"/>
  <c r="AK111" i="12"/>
  <c r="AA111" i="12"/>
  <c r="AT111" i="12"/>
  <c r="AR168" i="12"/>
  <c r="BA168" i="12"/>
  <c r="Y168" i="12"/>
  <c r="AI168" i="12"/>
  <c r="AR111" i="12"/>
  <c r="AI111" i="12"/>
  <c r="Y111" i="12"/>
  <c r="A112" i="12"/>
  <c r="AE175" i="1" s="1"/>
  <c r="D111" i="12"/>
  <c r="D111" i="13"/>
  <c r="A112" i="13"/>
  <c r="C52" i="1"/>
  <c r="A52" i="1" s="1"/>
  <c r="AN22" i="1"/>
  <c r="E50" i="2" s="1"/>
  <c r="AN8" i="1"/>
  <c r="D52" i="1"/>
  <c r="F49" i="2"/>
  <c r="AG138" i="1" s="1"/>
  <c r="Y7" i="1"/>
  <c r="N13" i="1"/>
  <c r="C132" i="1" s="1"/>
  <c r="N11" i="1"/>
  <c r="C130" i="1" s="1"/>
  <c r="N7" i="1"/>
  <c r="C126" i="1" s="1"/>
  <c r="N9" i="1"/>
  <c r="C128" i="1" s="1"/>
  <c r="X84" i="1"/>
  <c r="N12" i="1"/>
  <c r="C131" i="1" s="1"/>
  <c r="N10" i="1"/>
  <c r="C129" i="1" s="1"/>
  <c r="I48" i="1"/>
  <c r="A51" i="1"/>
  <c r="D14" i="2" s="1"/>
  <c r="I39" i="1"/>
  <c r="L46" i="1" s="1"/>
  <c r="W362" i="1"/>
  <c r="AJ12" i="1"/>
  <c r="X12" i="1"/>
  <c r="Y12" i="1"/>
  <c r="AJ11" i="1"/>
  <c r="Y11" i="1"/>
  <c r="X11" i="1"/>
  <c r="X7" i="1"/>
  <c r="AJ9" i="1"/>
  <c r="Y9" i="1"/>
  <c r="X9" i="1"/>
  <c r="AJ10" i="1"/>
  <c r="Y10" i="1"/>
  <c r="X10" i="1"/>
  <c r="AJ13" i="1"/>
  <c r="X13" i="1"/>
  <c r="Y13" i="1"/>
  <c r="H42" i="1"/>
  <c r="L45" i="1" s="1"/>
  <c r="H44" i="1"/>
  <c r="C44" i="1" s="1"/>
  <c r="AJ7" i="1"/>
  <c r="T10" i="1"/>
  <c r="V10" i="1" s="1"/>
  <c r="T11" i="1"/>
  <c r="V11" i="1" s="1"/>
  <c r="T7" i="1"/>
  <c r="V7" i="1" s="1"/>
  <c r="D49" i="2" s="1"/>
  <c r="AB10" i="1"/>
  <c r="I129" i="1" s="1"/>
  <c r="AB7" i="1"/>
  <c r="I126" i="1" s="1"/>
  <c r="Z8" i="1"/>
  <c r="AB13" i="1"/>
  <c r="I132" i="1" s="1"/>
  <c r="T13" i="1"/>
  <c r="T12" i="1"/>
  <c r="V12" i="1" s="1"/>
  <c r="T9" i="1"/>
  <c r="AB9" i="1"/>
  <c r="I128" i="1" s="1"/>
  <c r="AB12" i="1"/>
  <c r="I131" i="1" s="1"/>
  <c r="AB11" i="1"/>
  <c r="I130" i="1" s="1"/>
  <c r="U8" i="1"/>
  <c r="AK22" i="1" s="1"/>
  <c r="T117" i="1" s="1"/>
  <c r="E30" i="17" l="1"/>
  <c r="U88" i="17" s="1"/>
  <c r="C30" i="17"/>
  <c r="S88" i="17" s="1"/>
  <c r="G30" i="17"/>
  <c r="W88" i="17" s="1"/>
  <c r="C133" i="1"/>
  <c r="C134" i="1"/>
  <c r="I133" i="1"/>
  <c r="I134" i="1"/>
  <c r="G95" i="19"/>
  <c r="I95" i="17"/>
  <c r="G94" i="18"/>
  <c r="AU169" i="12"/>
  <c r="C32" i="19" s="1"/>
  <c r="AL169" i="12"/>
  <c r="E31" i="18" s="1"/>
  <c r="BD169" i="12"/>
  <c r="E32" i="19" s="1"/>
  <c r="AB169" i="12"/>
  <c r="C31" i="18" s="1"/>
  <c r="AU112" i="12"/>
  <c r="AL112" i="12"/>
  <c r="AB112" i="12"/>
  <c r="AA169" i="12"/>
  <c r="AT169" i="12"/>
  <c r="AK169" i="12"/>
  <c r="BC169" i="12"/>
  <c r="AA112" i="12"/>
  <c r="AT112" i="12"/>
  <c r="AK112" i="12"/>
  <c r="AI169" i="12"/>
  <c r="AR169" i="12"/>
  <c r="AI112" i="12"/>
  <c r="BA169" i="12"/>
  <c r="Y169" i="12"/>
  <c r="Y112" i="12"/>
  <c r="AR112" i="12"/>
  <c r="A113" i="13"/>
  <c r="D112" i="13"/>
  <c r="D112" i="12"/>
  <c r="A113" i="12"/>
  <c r="AE176" i="1" s="1"/>
  <c r="D15" i="2"/>
  <c r="AN24" i="1"/>
  <c r="E52" i="2" s="1"/>
  <c r="AN10" i="1"/>
  <c r="AN13" i="1"/>
  <c r="AN27" i="1"/>
  <c r="E55" i="2" s="1"/>
  <c r="AN12" i="1"/>
  <c r="AN26" i="1"/>
  <c r="E54" i="2" s="1"/>
  <c r="AN21" i="1"/>
  <c r="E49" i="2" s="1"/>
  <c r="AN7" i="1"/>
  <c r="AN9" i="1"/>
  <c r="AN23" i="1"/>
  <c r="E51" i="2" s="1"/>
  <c r="AN25" i="1"/>
  <c r="E53" i="2" s="1"/>
  <c r="AN11" i="1"/>
  <c r="AS23" i="1"/>
  <c r="X83" i="1"/>
  <c r="Z84" i="1"/>
  <c r="X89" i="1"/>
  <c r="X85" i="1"/>
  <c r="X86" i="1"/>
  <c r="X87" i="1"/>
  <c r="X88" i="1"/>
  <c r="AS21" i="1"/>
  <c r="AS26" i="1"/>
  <c r="AS24" i="1"/>
  <c r="AS25" i="1"/>
  <c r="AS22" i="1"/>
  <c r="R117" i="1"/>
  <c r="AK8" i="1"/>
  <c r="G50" i="2"/>
  <c r="D52" i="2"/>
  <c r="D53" i="2"/>
  <c r="M46" i="1"/>
  <c r="D54" i="2"/>
  <c r="W363" i="1"/>
  <c r="W366" i="1"/>
  <c r="W365" i="1"/>
  <c r="W367" i="1"/>
  <c r="W364" i="1"/>
  <c r="W361" i="1"/>
  <c r="U7" i="1"/>
  <c r="AK21" i="1" s="1"/>
  <c r="T116" i="1" s="1"/>
  <c r="Z13" i="1"/>
  <c r="V13" i="1"/>
  <c r="V9" i="1"/>
  <c r="C42" i="1"/>
  <c r="H46" i="1"/>
  <c r="M45" i="1" s="1"/>
  <c r="J46" i="1"/>
  <c r="AH8" i="1"/>
  <c r="U11" i="1"/>
  <c r="AK25" i="1" s="1"/>
  <c r="T120" i="1" s="1"/>
  <c r="U10" i="1"/>
  <c r="AK24" i="1" s="1"/>
  <c r="T119" i="1" s="1"/>
  <c r="Z10" i="1"/>
  <c r="Z11" i="1"/>
  <c r="Z9" i="1"/>
  <c r="Z7" i="1"/>
  <c r="Z12" i="1"/>
  <c r="U9" i="1"/>
  <c r="AK23" i="1" s="1"/>
  <c r="T118" i="1" s="1"/>
  <c r="U13" i="1"/>
  <c r="AK27" i="1" s="1"/>
  <c r="T122" i="1" s="1"/>
  <c r="U12" i="1"/>
  <c r="AK26" i="1" s="1"/>
  <c r="T121" i="1" s="1"/>
  <c r="W11" i="1"/>
  <c r="H130" i="1" s="1"/>
  <c r="K130" i="1" s="1"/>
  <c r="AB142" i="1" s="1"/>
  <c r="W8" i="1"/>
  <c r="H127" i="1" s="1"/>
  <c r="W7" i="1"/>
  <c r="H126" i="1" s="1"/>
  <c r="W12" i="1"/>
  <c r="H131" i="1" s="1"/>
  <c r="K131" i="1" s="1"/>
  <c r="AB143" i="1" s="1"/>
  <c r="W10" i="1"/>
  <c r="H129" i="1" s="1"/>
  <c r="K129" i="1" s="1"/>
  <c r="AB141" i="1" s="1"/>
  <c r="E31" i="17" l="1"/>
  <c r="U89" i="17" s="1"/>
  <c r="G31" i="17"/>
  <c r="W89" i="17" s="1"/>
  <c r="C31" i="17"/>
  <c r="S89" i="17" s="1"/>
  <c r="K127" i="1"/>
  <c r="AB139" i="1" s="1"/>
  <c r="K126" i="1"/>
  <c r="G95" i="18"/>
  <c r="I96" i="17"/>
  <c r="G96" i="19"/>
  <c r="AL170" i="12"/>
  <c r="E32" i="18" s="1"/>
  <c r="AB170" i="12"/>
  <c r="C32" i="18" s="1"/>
  <c r="AU170" i="12"/>
  <c r="C33" i="19" s="1"/>
  <c r="AU113" i="12"/>
  <c r="AL113" i="12"/>
  <c r="AB113" i="12"/>
  <c r="BD170" i="12"/>
  <c r="E33" i="19" s="1"/>
  <c r="BC170" i="12"/>
  <c r="AT170" i="12"/>
  <c r="AK170" i="12"/>
  <c r="AA170" i="12"/>
  <c r="AT113" i="12"/>
  <c r="AA113" i="12"/>
  <c r="AK113" i="12"/>
  <c r="Y113" i="12"/>
  <c r="AI170" i="12"/>
  <c r="AR113" i="12"/>
  <c r="BA170" i="12"/>
  <c r="Y170" i="12"/>
  <c r="AI113" i="12"/>
  <c r="AR170" i="12"/>
  <c r="G55" i="2"/>
  <c r="D113" i="12"/>
  <c r="A114" i="12"/>
  <c r="AE177" i="1" s="1"/>
  <c r="A114" i="13"/>
  <c r="D113" i="13"/>
  <c r="Z85" i="1"/>
  <c r="Y84" i="1"/>
  <c r="Z88" i="1"/>
  <c r="Z86" i="1"/>
  <c r="Z83" i="1"/>
  <c r="Z89" i="1"/>
  <c r="Z87" i="1"/>
  <c r="R118" i="1"/>
  <c r="R121" i="1"/>
  <c r="R119" i="1"/>
  <c r="R120" i="1"/>
  <c r="AK7" i="1"/>
  <c r="AK10" i="1"/>
  <c r="G52" i="2"/>
  <c r="AK13" i="1"/>
  <c r="AK11" i="1"/>
  <c r="G53" i="2"/>
  <c r="AK12" i="1"/>
  <c r="G54" i="2"/>
  <c r="AK9" i="1"/>
  <c r="G51" i="2"/>
  <c r="D51" i="2"/>
  <c r="D55" i="2"/>
  <c r="AH13" i="1"/>
  <c r="W9" i="1"/>
  <c r="C46" i="1"/>
  <c r="W13" i="1"/>
  <c r="C47" i="1"/>
  <c r="AH7" i="1"/>
  <c r="AH10" i="1"/>
  <c r="AH9" i="1"/>
  <c r="AH12" i="1"/>
  <c r="AH11" i="1"/>
  <c r="AF10" i="1"/>
  <c r="A10" i="1" s="1"/>
  <c r="AF8" i="1"/>
  <c r="A8" i="1" s="1"/>
  <c r="AF12" i="1"/>
  <c r="A12" i="1" s="1"/>
  <c r="AF11" i="1"/>
  <c r="A11" i="1" s="1"/>
  <c r="AF7" i="1"/>
  <c r="A7" i="1" s="1"/>
  <c r="E50" i="1" l="1"/>
  <c r="F50" i="1" s="1"/>
  <c r="G50" i="1" s="1"/>
  <c r="G32" i="17"/>
  <c r="W90" i="17" s="1"/>
  <c r="C32" i="17"/>
  <c r="S90" i="17" s="1"/>
  <c r="E32" i="17"/>
  <c r="U90" i="17" s="1"/>
  <c r="AB138" i="1"/>
  <c r="AF9" i="1"/>
  <c r="A9" i="1" s="1"/>
  <c r="H128" i="1"/>
  <c r="AF13" i="1"/>
  <c r="A13" i="1" s="1"/>
  <c r="H132" i="1"/>
  <c r="I97" i="17"/>
  <c r="G97" i="19"/>
  <c r="G96" i="18"/>
  <c r="BD171" i="12"/>
  <c r="E34" i="19" s="1"/>
  <c r="AB171" i="12"/>
  <c r="C33" i="18" s="1"/>
  <c r="AU171" i="12"/>
  <c r="C34" i="19" s="1"/>
  <c r="AL114" i="12"/>
  <c r="AB114" i="12"/>
  <c r="AL171" i="12"/>
  <c r="E33" i="18" s="1"/>
  <c r="AU114" i="12"/>
  <c r="AT171" i="12"/>
  <c r="AK171" i="12"/>
  <c r="BC171" i="12"/>
  <c r="AT114" i="12"/>
  <c r="AK114" i="12"/>
  <c r="AA171" i="12"/>
  <c r="AA114" i="12"/>
  <c r="AI114" i="12"/>
  <c r="AR171" i="12"/>
  <c r="BA171" i="12"/>
  <c r="Y171" i="12"/>
  <c r="Y114" i="12"/>
  <c r="AR114" i="12"/>
  <c r="AI171" i="12"/>
  <c r="R122" i="1"/>
  <c r="D114" i="12"/>
  <c r="A115" i="12"/>
  <c r="AE178" i="1" s="1"/>
  <c r="A115" i="13"/>
  <c r="D114" i="13"/>
  <c r="Y83" i="1"/>
  <c r="Y88" i="1"/>
  <c r="Y89" i="1"/>
  <c r="Y85" i="1"/>
  <c r="Y86" i="1"/>
  <c r="Y87" i="1"/>
  <c r="J48" i="1"/>
  <c r="C48" i="1" s="1"/>
  <c r="R123" i="1"/>
  <c r="U130" i="1" s="1"/>
  <c r="G49" i="2"/>
  <c r="R116" i="1"/>
  <c r="C49" i="1" l="1"/>
  <c r="E49" i="1" s="1"/>
  <c r="M50" i="1"/>
  <c r="M51" i="1" s="1"/>
  <c r="C33" i="17"/>
  <c r="S91" i="17" s="1"/>
  <c r="E33" i="17"/>
  <c r="U91" i="17" s="1"/>
  <c r="G33" i="17"/>
  <c r="W91" i="17" s="1"/>
  <c r="K132" i="1"/>
  <c r="AB144" i="1" s="1"/>
  <c r="K128" i="1"/>
  <c r="AB140" i="1" s="1"/>
  <c r="H134" i="1"/>
  <c r="H133" i="1"/>
  <c r="G97" i="18"/>
  <c r="I98" i="17"/>
  <c r="G98" i="19"/>
  <c r="BD172" i="12"/>
  <c r="E35" i="19" s="1"/>
  <c r="AU172" i="12"/>
  <c r="C35" i="19" s="1"/>
  <c r="AU115" i="12"/>
  <c r="AB172" i="12"/>
  <c r="C34" i="18" s="1"/>
  <c r="AL172" i="12"/>
  <c r="E34" i="18" s="1"/>
  <c r="AL115" i="12"/>
  <c r="AB115" i="12"/>
  <c r="AA172" i="12"/>
  <c r="BC172" i="12"/>
  <c r="AK172" i="12"/>
  <c r="AT172" i="12"/>
  <c r="AK115" i="12"/>
  <c r="AA115" i="12"/>
  <c r="AT115" i="12"/>
  <c r="AI172" i="12"/>
  <c r="AR115" i="12"/>
  <c r="BA172" i="12"/>
  <c r="Y172" i="12"/>
  <c r="AI115" i="12"/>
  <c r="AR172" i="12"/>
  <c r="Y115" i="12"/>
  <c r="A116" i="12"/>
  <c r="AE179" i="1" s="1"/>
  <c r="D115" i="12"/>
  <c r="D115" i="13"/>
  <c r="A116" i="13"/>
  <c r="C25" i="2"/>
  <c r="C27" i="2" s="1"/>
  <c r="M27" i="1" l="1"/>
  <c r="L27" i="1" s="1"/>
  <c r="C26" i="2" s="1"/>
  <c r="C50" i="1"/>
  <c r="C34" i="17"/>
  <c r="S92" i="17" s="1"/>
  <c r="G34" i="17"/>
  <c r="W92" i="17" s="1"/>
  <c r="E34" i="17"/>
  <c r="U92" i="17" s="1"/>
  <c r="C135" i="1"/>
  <c r="G99" i="19"/>
  <c r="I99" i="17"/>
  <c r="G98" i="18"/>
  <c r="AU173" i="12"/>
  <c r="C36" i="19" s="1"/>
  <c r="AL173" i="12"/>
  <c r="E35" i="18" s="1"/>
  <c r="BD173" i="12"/>
  <c r="E36" i="19" s="1"/>
  <c r="AB173" i="12"/>
  <c r="C35" i="18" s="1"/>
  <c r="AU116" i="12"/>
  <c r="AL116" i="12"/>
  <c r="AB116" i="12"/>
  <c r="BC173" i="12"/>
  <c r="AT173" i="12"/>
  <c r="AK173" i="12"/>
  <c r="AT116" i="12"/>
  <c r="AA173" i="12"/>
  <c r="AK116" i="12"/>
  <c r="AA116" i="12"/>
  <c r="AR173" i="12"/>
  <c r="AI116" i="12"/>
  <c r="AI173" i="12"/>
  <c r="Y173" i="12"/>
  <c r="BA173" i="12"/>
  <c r="AR116" i="12"/>
  <c r="Y116" i="12"/>
  <c r="D116" i="13"/>
  <c r="A117" i="13"/>
  <c r="A117" i="12"/>
  <c r="AE180" i="1" s="1"/>
  <c r="D116" i="12"/>
  <c r="B22" i="2"/>
  <c r="T123" i="1" l="1"/>
  <c r="G35" i="17"/>
  <c r="W93" i="17" s="1"/>
  <c r="C35" i="17"/>
  <c r="S93" i="17" s="1"/>
  <c r="E35" i="17"/>
  <c r="U93" i="17" s="1"/>
  <c r="I100" i="17"/>
  <c r="G99" i="18"/>
  <c r="G100" i="19"/>
  <c r="AL174" i="12"/>
  <c r="E36" i="18" s="1"/>
  <c r="AB174" i="12"/>
  <c r="C36" i="18" s="1"/>
  <c r="BD174" i="12"/>
  <c r="E37" i="19" s="1"/>
  <c r="AU117" i="12"/>
  <c r="AL117" i="12"/>
  <c r="AB117" i="12"/>
  <c r="AU174" i="12"/>
  <c r="C37" i="19" s="1"/>
  <c r="AA174" i="12"/>
  <c r="BC174" i="12"/>
  <c r="AT174" i="12"/>
  <c r="AK174" i="12"/>
  <c r="AK117" i="12"/>
  <c r="AA117" i="12"/>
  <c r="AT117" i="12"/>
  <c r="Y174" i="12"/>
  <c r="AR117" i="12"/>
  <c r="AR174" i="12"/>
  <c r="BA174" i="12"/>
  <c r="AI117" i="12"/>
  <c r="Y117" i="12"/>
  <c r="AI174" i="12"/>
  <c r="A118" i="12"/>
  <c r="AE181" i="1" s="1"/>
  <c r="D117" i="12"/>
  <c r="A118" i="13"/>
  <c r="D117" i="13"/>
  <c r="Q86" i="1"/>
  <c r="P85" i="1"/>
  <c r="Q85" i="1"/>
  <c r="P82" i="1"/>
  <c r="P86" i="1"/>
  <c r="P83" i="1"/>
  <c r="D150" i="1"/>
  <c r="D149" i="1" s="1"/>
  <c r="B410" i="1"/>
  <c r="D410" i="1" s="1"/>
  <c r="C150" i="1"/>
  <c r="G150" i="1"/>
  <c r="E150" i="1"/>
  <c r="D38" i="2" s="1"/>
  <c r="Y76" i="1"/>
  <c r="F150" i="1"/>
  <c r="D39" i="2" s="1"/>
  <c r="Y77" i="1"/>
  <c r="B378" i="1"/>
  <c r="H378" i="1" s="1"/>
  <c r="H150" i="1"/>
  <c r="D41" i="2" s="1"/>
  <c r="U132" i="1" l="1"/>
  <c r="U133" i="1" s="1"/>
  <c r="G149" i="1"/>
  <c r="T149" i="1" s="1"/>
  <c r="C143" i="1"/>
  <c r="E31" i="2" s="1"/>
  <c r="N356" i="1"/>
  <c r="C36" i="17"/>
  <c r="S94" i="17" s="1"/>
  <c r="E36" i="17"/>
  <c r="U94" i="17" s="1"/>
  <c r="G36" i="17"/>
  <c r="W94" i="17" s="1"/>
  <c r="I101" i="17"/>
  <c r="G101" i="19"/>
  <c r="G100" i="18"/>
  <c r="BD175" i="12"/>
  <c r="E38" i="19" s="1"/>
  <c r="AU175" i="12"/>
  <c r="C38" i="19" s="1"/>
  <c r="AL175" i="12"/>
  <c r="E37" i="18" s="1"/>
  <c r="AB175" i="12"/>
  <c r="C37" i="18" s="1"/>
  <c r="AL118" i="12"/>
  <c r="AB118" i="12"/>
  <c r="AU118" i="12"/>
  <c r="BC175" i="12"/>
  <c r="AT175" i="12"/>
  <c r="AK175" i="12"/>
  <c r="AA175" i="12"/>
  <c r="AT118" i="12"/>
  <c r="AA118" i="12"/>
  <c r="AK118" i="12"/>
  <c r="BA175" i="12"/>
  <c r="AI175" i="12"/>
  <c r="AR175" i="12"/>
  <c r="Y175" i="12"/>
  <c r="AR118" i="12"/>
  <c r="AI118" i="12"/>
  <c r="Y118" i="12"/>
  <c r="A119" i="13"/>
  <c r="D118" i="13"/>
  <c r="A119" i="12"/>
  <c r="AE182" i="1" s="1"/>
  <c r="D118" i="12"/>
  <c r="D37" i="2"/>
  <c r="F149" i="1"/>
  <c r="Q87" i="1"/>
  <c r="P87" i="1"/>
  <c r="H105" i="1"/>
  <c r="O77" i="1"/>
  <c r="D378" i="1"/>
  <c r="C378" i="1"/>
  <c r="E149" i="1"/>
  <c r="C410" i="1"/>
  <c r="D103" i="1"/>
  <c r="E410" i="1"/>
  <c r="G410" i="1"/>
  <c r="F410" i="1"/>
  <c r="H149" i="1"/>
  <c r="AL7" i="1" s="1"/>
  <c r="H410" i="1"/>
  <c r="F378" i="1"/>
  <c r="B209" i="1"/>
  <c r="Y75" i="1" s="1"/>
  <c r="G378" i="1"/>
  <c r="E378" i="1"/>
  <c r="D40" i="2"/>
  <c r="V120" i="1" l="1"/>
  <c r="W120" i="1" s="1"/>
  <c r="V116" i="1"/>
  <c r="W116" i="1" s="1"/>
  <c r="V121" i="1"/>
  <c r="W121" i="1" s="1"/>
  <c r="V119" i="1"/>
  <c r="W119" i="1" s="1"/>
  <c r="V122" i="1"/>
  <c r="W122" i="1" s="1"/>
  <c r="V118" i="1"/>
  <c r="W118" i="1" s="1"/>
  <c r="V117" i="1"/>
  <c r="W117" i="1" s="1"/>
  <c r="F141" i="1"/>
  <c r="AD139" i="1"/>
  <c r="AD138" i="1"/>
  <c r="AD141" i="1"/>
  <c r="AD140" i="1"/>
  <c r="C37" i="17"/>
  <c r="S95" i="17" s="1"/>
  <c r="E37" i="17"/>
  <c r="U95" i="17" s="1"/>
  <c r="G37" i="17"/>
  <c r="W95" i="17" s="1"/>
  <c r="I106" i="1"/>
  <c r="L22" i="2" s="1"/>
  <c r="I105" i="1"/>
  <c r="I102" i="17"/>
  <c r="M89" i="17" s="1"/>
  <c r="N89" i="17" s="1"/>
  <c r="G101" i="18"/>
  <c r="G102" i="19"/>
  <c r="BD176" i="12"/>
  <c r="E39" i="19" s="1"/>
  <c r="AU176" i="12"/>
  <c r="C39" i="19" s="1"/>
  <c r="AL176" i="12"/>
  <c r="E38" i="18" s="1"/>
  <c r="AB176" i="12"/>
  <c r="C38" i="18" s="1"/>
  <c r="AU119" i="12"/>
  <c r="AL119" i="12"/>
  <c r="AB119" i="12"/>
  <c r="AA176" i="12"/>
  <c r="BC176" i="12"/>
  <c r="AK176" i="12"/>
  <c r="AT176" i="12"/>
  <c r="AT119" i="12"/>
  <c r="AA119" i="12"/>
  <c r="AK119" i="12"/>
  <c r="Y176" i="12"/>
  <c r="AI176" i="12"/>
  <c r="Y119" i="12"/>
  <c r="BA176" i="12"/>
  <c r="AI119" i="12"/>
  <c r="AR176" i="12"/>
  <c r="AR119" i="12"/>
  <c r="D119" i="12"/>
  <c r="A120" i="12"/>
  <c r="AE183" i="1" s="1"/>
  <c r="D119" i="13"/>
  <c r="A120" i="13"/>
  <c r="R356" i="1"/>
  <c r="Q356" i="1"/>
  <c r="T356" i="1"/>
  <c r="P356" i="1"/>
  <c r="S356" i="1"/>
  <c r="O356" i="1"/>
  <c r="AM22" i="1"/>
  <c r="L50" i="2" s="1"/>
  <c r="AM8" i="1"/>
  <c r="AM10" i="1"/>
  <c r="AM26" i="1"/>
  <c r="L54" i="2" s="1"/>
  <c r="AM24" i="1"/>
  <c r="L52" i="2" s="1"/>
  <c r="AM12" i="1"/>
  <c r="AM23" i="1"/>
  <c r="L51" i="2" s="1"/>
  <c r="AM13" i="1"/>
  <c r="AM7" i="1"/>
  <c r="AM11" i="1"/>
  <c r="AM27" i="1"/>
  <c r="L55" i="2" s="1"/>
  <c r="AM21" i="1"/>
  <c r="L49" i="2" s="1"/>
  <c r="AM25" i="1"/>
  <c r="L53" i="2" s="1"/>
  <c r="AM9" i="1"/>
  <c r="AL22" i="1"/>
  <c r="Q117" i="1" s="1"/>
  <c r="X125" i="1"/>
  <c r="P92" i="1"/>
  <c r="Y118" i="1" s="1"/>
  <c r="Q92" i="1"/>
  <c r="R92" i="1"/>
  <c r="Z125" i="1"/>
  <c r="Y125" i="1"/>
  <c r="I209" i="1"/>
  <c r="O205" i="1" s="1"/>
  <c r="AL27" i="1"/>
  <c r="Q122" i="1" s="1"/>
  <c r="C209" i="1"/>
  <c r="AL21" i="1"/>
  <c r="S116" i="1" s="1"/>
  <c r="AL9" i="1"/>
  <c r="AL23" i="1"/>
  <c r="Q118" i="1" s="1"/>
  <c r="AL26" i="1"/>
  <c r="H54" i="2" s="1"/>
  <c r="D209" i="1"/>
  <c r="H209" i="1"/>
  <c r="Q205" i="1"/>
  <c r="AL10" i="1"/>
  <c r="AL25" i="1"/>
  <c r="Q120" i="1" s="1"/>
  <c r="AL12" i="1"/>
  <c r="AL8" i="1"/>
  <c r="AL13" i="1"/>
  <c r="AL24" i="1"/>
  <c r="Q119" i="1" s="1"/>
  <c r="R205" i="1"/>
  <c r="AL11" i="1"/>
  <c r="F209" i="1"/>
  <c r="E209" i="1"/>
  <c r="G209" i="1"/>
  <c r="X361" i="1" l="1"/>
  <c r="G38" i="17"/>
  <c r="W96" i="17" s="1"/>
  <c r="C38" i="17"/>
  <c r="S96" i="17" s="1"/>
  <c r="E38" i="17"/>
  <c r="U96" i="17" s="1"/>
  <c r="K101" i="17"/>
  <c r="L101" i="17" s="1"/>
  <c r="O92" i="17"/>
  <c r="P92" i="17" s="1"/>
  <c r="K92" i="17"/>
  <c r="L92" i="17" s="1"/>
  <c r="M95" i="17"/>
  <c r="N95" i="17" s="1"/>
  <c r="O89" i="17"/>
  <c r="P89" i="17" s="1"/>
  <c r="O93" i="17"/>
  <c r="P93" i="17" s="1"/>
  <c r="M90" i="17"/>
  <c r="N90" i="17" s="1"/>
  <c r="M83" i="17"/>
  <c r="N83" i="17" s="1"/>
  <c r="M91" i="17"/>
  <c r="N91" i="17" s="1"/>
  <c r="M101" i="17"/>
  <c r="N101" i="17" s="1"/>
  <c r="O90" i="17"/>
  <c r="P90" i="17" s="1"/>
  <c r="M93" i="17"/>
  <c r="N93" i="17" s="1"/>
  <c r="O87" i="17"/>
  <c r="P87" i="17" s="1"/>
  <c r="M85" i="17"/>
  <c r="N85" i="17" s="1"/>
  <c r="M96" i="17"/>
  <c r="N96" i="17" s="1"/>
  <c r="K94" i="17"/>
  <c r="L94" i="17" s="1"/>
  <c r="M97" i="17"/>
  <c r="N97" i="17" s="1"/>
  <c r="M94" i="17"/>
  <c r="N94" i="17" s="1"/>
  <c r="M87" i="17"/>
  <c r="N87" i="17" s="1"/>
  <c r="O86" i="17"/>
  <c r="P86" i="17" s="1"/>
  <c r="M92" i="17"/>
  <c r="N92" i="17" s="1"/>
  <c r="K86" i="17"/>
  <c r="L86" i="17" s="1"/>
  <c r="K87" i="17"/>
  <c r="L87" i="17" s="1"/>
  <c r="M99" i="17"/>
  <c r="N99" i="17" s="1"/>
  <c r="K90" i="17"/>
  <c r="L90" i="17" s="1"/>
  <c r="M88" i="17"/>
  <c r="N88" i="17" s="1"/>
  <c r="K84" i="17"/>
  <c r="L84" i="17" s="1"/>
  <c r="O91" i="17"/>
  <c r="P91" i="17" s="1"/>
  <c r="M100" i="17"/>
  <c r="N100" i="17" s="1"/>
  <c r="O94" i="17"/>
  <c r="P94" i="17" s="1"/>
  <c r="M98" i="17"/>
  <c r="N98" i="17" s="1"/>
  <c r="O98" i="17"/>
  <c r="P98" i="17" s="1"/>
  <c r="O100" i="17"/>
  <c r="P100" i="17" s="1"/>
  <c r="K95" i="17"/>
  <c r="L95" i="17" s="1"/>
  <c r="K98" i="17"/>
  <c r="L98" i="17" s="1"/>
  <c r="K100" i="17"/>
  <c r="L100" i="17" s="1"/>
  <c r="O101" i="17"/>
  <c r="P101" i="17" s="1"/>
  <c r="O99" i="17"/>
  <c r="P99" i="17" s="1"/>
  <c r="K99" i="17"/>
  <c r="L99" i="17" s="1"/>
  <c r="K96" i="17"/>
  <c r="L96" i="17" s="1"/>
  <c r="O95" i="17"/>
  <c r="P95" i="17" s="1"/>
  <c r="O96" i="17"/>
  <c r="P96" i="17" s="1"/>
  <c r="O97" i="17"/>
  <c r="P97" i="17" s="1"/>
  <c r="K93" i="17"/>
  <c r="L93" i="17" s="1"/>
  <c r="K97" i="17"/>
  <c r="L97" i="17" s="1"/>
  <c r="N205" i="1"/>
  <c r="E37" i="2"/>
  <c r="M102" i="17"/>
  <c r="N102" i="17" s="1"/>
  <c r="K102" i="17"/>
  <c r="L102" i="17" s="1"/>
  <c r="O102" i="17"/>
  <c r="P102" i="17" s="1"/>
  <c r="I103" i="17"/>
  <c r="G103" i="19"/>
  <c r="G102" i="18"/>
  <c r="AU177" i="12"/>
  <c r="C40" i="19" s="1"/>
  <c r="AL177" i="12"/>
  <c r="E39" i="18" s="1"/>
  <c r="BD177" i="12"/>
  <c r="E40" i="19" s="1"/>
  <c r="AU120" i="12"/>
  <c r="AL120" i="12"/>
  <c r="AB120" i="12"/>
  <c r="AB177" i="12"/>
  <c r="C39" i="18" s="1"/>
  <c r="BC177" i="12"/>
  <c r="AT177" i="12"/>
  <c r="AK177" i="12"/>
  <c r="AA177" i="12"/>
  <c r="AT120" i="12"/>
  <c r="AA120" i="12"/>
  <c r="AK120" i="12"/>
  <c r="Y177" i="12"/>
  <c r="BA177" i="12"/>
  <c r="Y120" i="12"/>
  <c r="AR177" i="12"/>
  <c r="AI120" i="12"/>
  <c r="AI177" i="12"/>
  <c r="AR120" i="12"/>
  <c r="A121" i="12"/>
  <c r="AE184" i="1" s="1"/>
  <c r="D120" i="12"/>
  <c r="A121" i="13"/>
  <c r="D120" i="13"/>
  <c r="X366" i="1"/>
  <c r="X362" i="1"/>
  <c r="X364" i="1"/>
  <c r="X367" i="1"/>
  <c r="X365" i="1"/>
  <c r="X363" i="1"/>
  <c r="Z115" i="1"/>
  <c r="P95" i="1"/>
  <c r="Y117" i="1"/>
  <c r="Y115" i="1"/>
  <c r="Y116" i="1"/>
  <c r="Z116" i="1"/>
  <c r="Y121" i="1"/>
  <c r="Z121" i="1"/>
  <c r="Y120" i="1"/>
  <c r="Z120" i="1"/>
  <c r="Y119" i="1"/>
  <c r="Z119" i="1"/>
  <c r="S108" i="1" s="1"/>
  <c r="Z117" i="1"/>
  <c r="Z118" i="1"/>
  <c r="S117" i="1"/>
  <c r="U117" i="1" s="1"/>
  <c r="I50" i="2" s="1"/>
  <c r="H50" i="2"/>
  <c r="S121" i="1"/>
  <c r="S120" i="1"/>
  <c r="U120" i="1" s="1"/>
  <c r="I53" i="2" s="1"/>
  <c r="S118" i="1"/>
  <c r="U118" i="1" s="1"/>
  <c r="I51" i="2" s="1"/>
  <c r="S119" i="1"/>
  <c r="U119" i="1" s="1"/>
  <c r="I52" i="2" s="1"/>
  <c r="S122" i="1"/>
  <c r="U122" i="1" s="1"/>
  <c r="I55" i="2" s="1"/>
  <c r="H51" i="2"/>
  <c r="Q116" i="1"/>
  <c r="U116" i="1" s="1"/>
  <c r="I49" i="2" s="1"/>
  <c r="H55" i="2"/>
  <c r="H53" i="2"/>
  <c r="Q121" i="1"/>
  <c r="H49" i="2"/>
  <c r="H52" i="2"/>
  <c r="J52" i="2" l="1"/>
  <c r="J49" i="2"/>
  <c r="J55" i="2"/>
  <c r="J53" i="2"/>
  <c r="AA142" i="1" s="1"/>
  <c r="K53" i="2" s="1"/>
  <c r="J50" i="2"/>
  <c r="J51" i="2"/>
  <c r="E39" i="17"/>
  <c r="U97" i="17" s="1"/>
  <c r="G39" i="17"/>
  <c r="W97" i="17" s="1"/>
  <c r="C39" i="17"/>
  <c r="S97" i="17" s="1"/>
  <c r="E39" i="2"/>
  <c r="K103" i="17"/>
  <c r="L103" i="17" s="1"/>
  <c r="M103" i="17"/>
  <c r="N103" i="17" s="1"/>
  <c r="O103" i="17"/>
  <c r="P103" i="17" s="1"/>
  <c r="I104" i="17"/>
  <c r="G103" i="18"/>
  <c r="M94" i="18" s="1"/>
  <c r="N94" i="18" s="1"/>
  <c r="R94" i="18" s="1"/>
  <c r="G104" i="19"/>
  <c r="AL178" i="12"/>
  <c r="E40" i="18" s="1"/>
  <c r="AB178" i="12"/>
  <c r="C40" i="18" s="1"/>
  <c r="AU178" i="12"/>
  <c r="C41" i="19" s="1"/>
  <c r="BD178" i="12"/>
  <c r="E41" i="19" s="1"/>
  <c r="AL121" i="12"/>
  <c r="AB121" i="12"/>
  <c r="AU121" i="12"/>
  <c r="AK178" i="12"/>
  <c r="AA178" i="12"/>
  <c r="AT178" i="12"/>
  <c r="AT121" i="12"/>
  <c r="AK121" i="12"/>
  <c r="BC178" i="12"/>
  <c r="AA121" i="12"/>
  <c r="Y178" i="12"/>
  <c r="AI178" i="12"/>
  <c r="AI121" i="12"/>
  <c r="Y121" i="12"/>
  <c r="BA178" i="12"/>
  <c r="AR121" i="12"/>
  <c r="AR178" i="12"/>
  <c r="A122" i="13"/>
  <c r="D121" i="13"/>
  <c r="D121" i="12"/>
  <c r="A122" i="12"/>
  <c r="AE185" i="1" s="1"/>
  <c r="S106" i="1"/>
  <c r="S107" i="1"/>
  <c r="S105" i="1"/>
  <c r="S109" i="1"/>
  <c r="S104" i="1"/>
  <c r="S110" i="1"/>
  <c r="U121" i="1"/>
  <c r="I54" i="2" s="1"/>
  <c r="J54" i="2" s="1"/>
  <c r="AE142" i="1" l="1"/>
  <c r="W142" i="1" s="1"/>
  <c r="AA140" i="1"/>
  <c r="K51" i="2" s="1"/>
  <c r="C40" i="17"/>
  <c r="S98" i="17" s="1"/>
  <c r="E40" i="17"/>
  <c r="U98" i="17" s="1"/>
  <c r="G40" i="17"/>
  <c r="W98" i="17" s="1"/>
  <c r="M90" i="18"/>
  <c r="N90" i="18" s="1"/>
  <c r="R90" i="18" s="1"/>
  <c r="K102" i="18"/>
  <c r="L102" i="18" s="1"/>
  <c r="K101" i="18"/>
  <c r="L101" i="18" s="1"/>
  <c r="K99" i="18"/>
  <c r="L99" i="18" s="1"/>
  <c r="K89" i="18"/>
  <c r="L89" i="18" s="1"/>
  <c r="M86" i="18"/>
  <c r="N86" i="18" s="1"/>
  <c r="R86" i="18" s="1"/>
  <c r="M98" i="18"/>
  <c r="N98" i="18" s="1"/>
  <c r="K96" i="18"/>
  <c r="L96" i="18" s="1"/>
  <c r="K95" i="18"/>
  <c r="L95" i="18" s="1"/>
  <c r="M101" i="18"/>
  <c r="N101" i="18" s="1"/>
  <c r="K87" i="18"/>
  <c r="L87" i="18" s="1"/>
  <c r="M92" i="18"/>
  <c r="N92" i="18" s="1"/>
  <c r="R92" i="18" s="1"/>
  <c r="K88" i="18"/>
  <c r="L88" i="18" s="1"/>
  <c r="M91" i="18"/>
  <c r="N91" i="18" s="1"/>
  <c r="R91" i="18" s="1"/>
  <c r="M93" i="18"/>
  <c r="N93" i="18" s="1"/>
  <c r="R93" i="18" s="1"/>
  <c r="M99" i="18"/>
  <c r="N99" i="18" s="1"/>
  <c r="K97" i="18"/>
  <c r="L97" i="18" s="1"/>
  <c r="M96" i="18"/>
  <c r="N96" i="18" s="1"/>
  <c r="R96" i="18" s="1"/>
  <c r="K90" i="18"/>
  <c r="L90" i="18" s="1"/>
  <c r="M89" i="18"/>
  <c r="N89" i="18" s="1"/>
  <c r="R89" i="18" s="1"/>
  <c r="K91" i="18"/>
  <c r="L91" i="18" s="1"/>
  <c r="M97" i="18"/>
  <c r="N97" i="18" s="1"/>
  <c r="R97" i="18" s="1"/>
  <c r="M102" i="18"/>
  <c r="N102" i="18" s="1"/>
  <c r="M95" i="18"/>
  <c r="N95" i="18" s="1"/>
  <c r="R95" i="18" s="1"/>
  <c r="K98" i="18"/>
  <c r="L98" i="18" s="1"/>
  <c r="K100" i="18"/>
  <c r="L100" i="18" s="1"/>
  <c r="K94" i="18"/>
  <c r="L94" i="18" s="1"/>
  <c r="M100" i="18"/>
  <c r="N100" i="18" s="1"/>
  <c r="K92" i="18"/>
  <c r="L92" i="18" s="1"/>
  <c r="K104" i="17"/>
  <c r="L104" i="17" s="1"/>
  <c r="M104" i="17"/>
  <c r="N104" i="17" s="1"/>
  <c r="M103" i="18"/>
  <c r="N103" i="18" s="1"/>
  <c r="K103" i="18"/>
  <c r="L103" i="18" s="1"/>
  <c r="O104" i="17"/>
  <c r="P104" i="17" s="1"/>
  <c r="I105" i="17"/>
  <c r="G105" i="19"/>
  <c r="G104" i="18"/>
  <c r="BD179" i="12"/>
  <c r="E42" i="19" s="1"/>
  <c r="AL179" i="12"/>
  <c r="E41" i="18" s="1"/>
  <c r="AU122" i="12"/>
  <c r="G41" i="17" s="1"/>
  <c r="AL122" i="12"/>
  <c r="AB122" i="12"/>
  <c r="AB179" i="12"/>
  <c r="C41" i="18" s="1"/>
  <c r="AU179" i="12"/>
  <c r="C42" i="19" s="1"/>
  <c r="BC179" i="12"/>
  <c r="AT179" i="12"/>
  <c r="AK179" i="12"/>
  <c r="AA179" i="12"/>
  <c r="AT122" i="12"/>
  <c r="AK122" i="12"/>
  <c r="AA122" i="12"/>
  <c r="AI122" i="12"/>
  <c r="AR122" i="12"/>
  <c r="BA179" i="12"/>
  <c r="AI179" i="12"/>
  <c r="Y179" i="12"/>
  <c r="AR179" i="12"/>
  <c r="Y122" i="12"/>
  <c r="C51" i="2"/>
  <c r="C53" i="2"/>
  <c r="D122" i="12"/>
  <c r="A123" i="12"/>
  <c r="AE186" i="1" s="1"/>
  <c r="A123" i="13"/>
  <c r="D122" i="13"/>
  <c r="I107" i="1"/>
  <c r="I109" i="1"/>
  <c r="AE140" i="1" l="1"/>
  <c r="W140" i="1" s="1"/>
  <c r="C41" i="17"/>
  <c r="S99" i="17" s="1"/>
  <c r="E41" i="17"/>
  <c r="U99" i="17" s="1"/>
  <c r="R98" i="18"/>
  <c r="P96" i="18"/>
  <c r="P94" i="18"/>
  <c r="P90" i="18"/>
  <c r="P87" i="18"/>
  <c r="P92" i="18"/>
  <c r="P98" i="18"/>
  <c r="P91" i="18"/>
  <c r="P97" i="18"/>
  <c r="P88" i="18"/>
  <c r="P95" i="18"/>
  <c r="P89" i="18"/>
  <c r="K105" i="17"/>
  <c r="L105" i="17" s="1"/>
  <c r="M105" i="17"/>
  <c r="N105" i="17" s="1"/>
  <c r="W99" i="17"/>
  <c r="K104" i="18"/>
  <c r="L104" i="18" s="1"/>
  <c r="M104" i="18"/>
  <c r="N104" i="18" s="1"/>
  <c r="O105" i="17"/>
  <c r="P105" i="17" s="1"/>
  <c r="G105" i="18"/>
  <c r="I106" i="17"/>
  <c r="G106" i="19"/>
  <c r="BD180" i="12"/>
  <c r="E43" i="19" s="1"/>
  <c r="AU180" i="12"/>
  <c r="C43" i="19" s="1"/>
  <c r="AB180" i="12"/>
  <c r="AU123" i="12"/>
  <c r="G42" i="17" s="1"/>
  <c r="AL180" i="12"/>
  <c r="AL123" i="12"/>
  <c r="AB123" i="12"/>
  <c r="BC180" i="12"/>
  <c r="AT180" i="12"/>
  <c r="AK180" i="12"/>
  <c r="AA180" i="12"/>
  <c r="AK123" i="12"/>
  <c r="AA123" i="12"/>
  <c r="AT123" i="12"/>
  <c r="AI123" i="12"/>
  <c r="AI180" i="12"/>
  <c r="AR123" i="12"/>
  <c r="Y180" i="12"/>
  <c r="BA180" i="12"/>
  <c r="Y123" i="12"/>
  <c r="AR180" i="12"/>
  <c r="D123" i="13"/>
  <c r="A124" i="13"/>
  <c r="A124" i="12"/>
  <c r="AE187" i="1" s="1"/>
  <c r="D123" i="12"/>
  <c r="C42" i="17" l="1"/>
  <c r="S100" i="17" s="1"/>
  <c r="C42" i="18"/>
  <c r="P99" i="18" s="1"/>
  <c r="E42" i="17"/>
  <c r="U100" i="17" s="1"/>
  <c r="E42" i="18"/>
  <c r="R99" i="18" s="1"/>
  <c r="W100" i="17"/>
  <c r="M106" i="17"/>
  <c r="N106" i="17" s="1"/>
  <c r="K106" i="17"/>
  <c r="L106" i="17" s="1"/>
  <c r="O106" i="17"/>
  <c r="P106" i="17" s="1"/>
  <c r="K105" i="18"/>
  <c r="L105" i="18" s="1"/>
  <c r="M105" i="18"/>
  <c r="N105" i="18" s="1"/>
  <c r="G107" i="19"/>
  <c r="I107" i="17"/>
  <c r="G106" i="18"/>
  <c r="AU181" i="12"/>
  <c r="C44" i="19" s="1"/>
  <c r="AL181" i="12"/>
  <c r="AB181" i="12"/>
  <c r="AU124" i="12"/>
  <c r="G43" i="17" s="1"/>
  <c r="BD181" i="12"/>
  <c r="E44" i="19" s="1"/>
  <c r="AL124" i="12"/>
  <c r="AB124" i="12"/>
  <c r="AT181" i="12"/>
  <c r="AK181" i="12"/>
  <c r="BC181" i="12"/>
  <c r="AT124" i="12"/>
  <c r="AK124" i="12"/>
  <c r="AA181" i="12"/>
  <c r="AA124" i="12"/>
  <c r="AI181" i="12"/>
  <c r="Y181" i="12"/>
  <c r="AR181" i="12"/>
  <c r="BA181" i="12"/>
  <c r="AI124" i="12"/>
  <c r="Y124" i="12"/>
  <c r="AR124" i="12"/>
  <c r="A125" i="12"/>
  <c r="AE188" i="1" s="1"/>
  <c r="D124" i="12"/>
  <c r="A125" i="13"/>
  <c r="D124" i="13"/>
  <c r="C43" i="18" l="1"/>
  <c r="P100" i="18" s="1"/>
  <c r="E43" i="18"/>
  <c r="R100" i="18" s="1"/>
  <c r="C43" i="17"/>
  <c r="S101" i="17" s="1"/>
  <c r="E43" i="17"/>
  <c r="U101" i="17" s="1"/>
  <c r="W101" i="17"/>
  <c r="K107" i="17"/>
  <c r="L107" i="17" s="1"/>
  <c r="M107" i="17"/>
  <c r="N107" i="17" s="1"/>
  <c r="O107" i="17"/>
  <c r="P107" i="17" s="1"/>
  <c r="K106" i="18"/>
  <c r="L106" i="18" s="1"/>
  <c r="M106" i="18"/>
  <c r="N106" i="18" s="1"/>
  <c r="G107" i="18"/>
  <c r="I108" i="17"/>
  <c r="G108" i="19"/>
  <c r="AL182" i="12"/>
  <c r="BD182" i="12"/>
  <c r="E45" i="19" s="1"/>
  <c r="AB182" i="12"/>
  <c r="AU182" i="12"/>
  <c r="C45" i="19" s="1"/>
  <c r="AL125" i="12"/>
  <c r="AB125" i="12"/>
  <c r="AU125" i="12"/>
  <c r="G44" i="17" s="1"/>
  <c r="BC182" i="12"/>
  <c r="AK182" i="12"/>
  <c r="AA182" i="12"/>
  <c r="AK125" i="12"/>
  <c r="AA125" i="12"/>
  <c r="AT182" i="12"/>
  <c r="AT125" i="12"/>
  <c r="BA182" i="12"/>
  <c r="Y182" i="12"/>
  <c r="Y125" i="12"/>
  <c r="AI182" i="12"/>
  <c r="AI125" i="12"/>
  <c r="AR125" i="12"/>
  <c r="AR182" i="12"/>
  <c r="D125" i="13"/>
  <c r="A126" i="13"/>
  <c r="A126" i="12"/>
  <c r="AE189" i="1" s="1"/>
  <c r="D125" i="12"/>
  <c r="E44" i="17" l="1"/>
  <c r="U102" i="17" s="1"/>
  <c r="E44" i="18"/>
  <c r="R101" i="18" s="1"/>
  <c r="C44" i="17"/>
  <c r="S102" i="17" s="1"/>
  <c r="C44" i="18"/>
  <c r="P101" i="18" s="1"/>
  <c r="W102" i="17"/>
  <c r="K108" i="17"/>
  <c r="L108" i="17" s="1"/>
  <c r="M108" i="17"/>
  <c r="N108" i="17" s="1"/>
  <c r="O108" i="17"/>
  <c r="P108" i="17" s="1"/>
  <c r="M107" i="18"/>
  <c r="N107" i="18" s="1"/>
  <c r="K107" i="18"/>
  <c r="L107" i="18" s="1"/>
  <c r="G109" i="19"/>
  <c r="I109" i="17"/>
  <c r="G108" i="18"/>
  <c r="BD183" i="12"/>
  <c r="E46" i="19" s="1"/>
  <c r="AU183" i="12"/>
  <c r="C46" i="19" s="1"/>
  <c r="AL183" i="12"/>
  <c r="AL126" i="12"/>
  <c r="AB183" i="12"/>
  <c r="AB126" i="12"/>
  <c r="AU126" i="12"/>
  <c r="G45" i="17" s="1"/>
  <c r="BC183" i="12"/>
  <c r="AT183" i="12"/>
  <c r="AK183" i="12"/>
  <c r="AA183" i="12"/>
  <c r="AK126" i="12"/>
  <c r="AA126" i="12"/>
  <c r="AT126" i="12"/>
  <c r="Y183" i="12"/>
  <c r="AI183" i="12"/>
  <c r="BA183" i="12"/>
  <c r="AR183" i="12"/>
  <c r="Y126" i="12"/>
  <c r="AR126" i="12"/>
  <c r="AI126" i="12"/>
  <c r="A127" i="12"/>
  <c r="AE190" i="1" s="1"/>
  <c r="D126" i="12"/>
  <c r="A127" i="13"/>
  <c r="D126" i="13"/>
  <c r="C45" i="17" l="1"/>
  <c r="S103" i="17" s="1"/>
  <c r="C45" i="18"/>
  <c r="P102" i="18" s="1"/>
  <c r="E45" i="17"/>
  <c r="U103" i="17" s="1"/>
  <c r="E45" i="18"/>
  <c r="R102" i="18" s="1"/>
  <c r="W103" i="17"/>
  <c r="M109" i="17"/>
  <c r="N109" i="17" s="1"/>
  <c r="K109" i="17"/>
  <c r="L109" i="17" s="1"/>
  <c r="O109" i="17"/>
  <c r="P109" i="17" s="1"/>
  <c r="K108" i="18"/>
  <c r="L108" i="18" s="1"/>
  <c r="M108" i="18"/>
  <c r="N108" i="18" s="1"/>
  <c r="G109" i="18"/>
  <c r="I110" i="17"/>
  <c r="G110" i="19"/>
  <c r="M107" i="19" s="1"/>
  <c r="N107" i="19" s="1"/>
  <c r="BD184" i="12"/>
  <c r="E47" i="19" s="1"/>
  <c r="AU184" i="12"/>
  <c r="C47" i="19" s="1"/>
  <c r="AL184" i="12"/>
  <c r="AB184" i="12"/>
  <c r="AU127" i="12"/>
  <c r="G46" i="17" s="1"/>
  <c r="AL127" i="12"/>
  <c r="AB127" i="12"/>
  <c r="BC184" i="12"/>
  <c r="AT184" i="12"/>
  <c r="AK184" i="12"/>
  <c r="AA184" i="12"/>
  <c r="AT127" i="12"/>
  <c r="AA127" i="12"/>
  <c r="AK127" i="12"/>
  <c r="Y184" i="12"/>
  <c r="BA184" i="12"/>
  <c r="AR184" i="12"/>
  <c r="AR127" i="12"/>
  <c r="AI184" i="12"/>
  <c r="Y127" i="12"/>
  <c r="AI127" i="12"/>
  <c r="D127" i="13"/>
  <c r="A128" i="13"/>
  <c r="A128" i="12"/>
  <c r="AE191" i="1" s="1"/>
  <c r="D127" i="12"/>
  <c r="C46" i="18" l="1"/>
  <c r="P103" i="18" s="1"/>
  <c r="E46" i="17"/>
  <c r="U104" i="17" s="1"/>
  <c r="C46" i="17"/>
  <c r="S104" i="17" s="1"/>
  <c r="E46" i="18"/>
  <c r="R103" i="18" s="1"/>
  <c r="M109" i="19"/>
  <c r="N109" i="19" s="1"/>
  <c r="M105" i="19"/>
  <c r="N105" i="19" s="1"/>
  <c r="K108" i="19"/>
  <c r="L108" i="19" s="1"/>
  <c r="M94" i="19"/>
  <c r="N94" i="19" s="1"/>
  <c r="K94" i="19"/>
  <c r="L94" i="19" s="1"/>
  <c r="M96" i="19"/>
  <c r="N96" i="19" s="1"/>
  <c r="M108" i="19"/>
  <c r="N108" i="19" s="1"/>
  <c r="M95" i="19"/>
  <c r="N95" i="19" s="1"/>
  <c r="K93" i="19"/>
  <c r="K100" i="19"/>
  <c r="L100" i="19" s="1"/>
  <c r="M100" i="19"/>
  <c r="N100" i="19" s="1"/>
  <c r="M104" i="19"/>
  <c r="N104" i="19" s="1"/>
  <c r="K99" i="19"/>
  <c r="L99" i="19" s="1"/>
  <c r="K101" i="19"/>
  <c r="L101" i="19" s="1"/>
  <c r="K103" i="19"/>
  <c r="L103" i="19" s="1"/>
  <c r="K104" i="19"/>
  <c r="L104" i="19" s="1"/>
  <c r="M98" i="19"/>
  <c r="N98" i="19" s="1"/>
  <c r="M103" i="19"/>
  <c r="N103" i="19" s="1"/>
  <c r="K102" i="19"/>
  <c r="L102" i="19" s="1"/>
  <c r="K105" i="19"/>
  <c r="L105" i="19" s="1"/>
  <c r="M106" i="19"/>
  <c r="N106" i="19" s="1"/>
  <c r="K98" i="19"/>
  <c r="L98" i="19" s="1"/>
  <c r="M102" i="19"/>
  <c r="N102" i="19" s="1"/>
  <c r="K97" i="19"/>
  <c r="L97" i="19" s="1"/>
  <c r="K109" i="19"/>
  <c r="L109" i="19" s="1"/>
  <c r="M97" i="19"/>
  <c r="N97" i="19" s="1"/>
  <c r="K106" i="19"/>
  <c r="L106" i="19" s="1"/>
  <c r="K95" i="19"/>
  <c r="L95" i="19" s="1"/>
  <c r="K96" i="19"/>
  <c r="L96" i="19" s="1"/>
  <c r="M99" i="19"/>
  <c r="N99" i="19" s="1"/>
  <c r="M101" i="19"/>
  <c r="N101" i="19" s="1"/>
  <c r="K107" i="19"/>
  <c r="L107" i="19" s="1"/>
  <c r="W104" i="17"/>
  <c r="M110" i="17"/>
  <c r="N110" i="17" s="1"/>
  <c r="K110" i="17"/>
  <c r="L110" i="17" s="1"/>
  <c r="M110" i="19"/>
  <c r="K110" i="19"/>
  <c r="L110" i="19" s="1"/>
  <c r="O110" i="17"/>
  <c r="P110" i="17" s="1"/>
  <c r="M109" i="18"/>
  <c r="N109" i="18" s="1"/>
  <c r="K109" i="18"/>
  <c r="L109" i="18" s="1"/>
  <c r="I111" i="17"/>
  <c r="G111" i="19"/>
  <c r="K111" i="19" s="1"/>
  <c r="L111" i="19" s="1"/>
  <c r="G110" i="18"/>
  <c r="AU185" i="12"/>
  <c r="C48" i="19" s="1"/>
  <c r="AL185" i="12"/>
  <c r="BD185" i="12"/>
  <c r="E48" i="19" s="1"/>
  <c r="AB185" i="12"/>
  <c r="AU128" i="12"/>
  <c r="G47" i="17" s="1"/>
  <c r="AL128" i="12"/>
  <c r="AB128" i="12"/>
  <c r="BC185" i="12"/>
  <c r="AT185" i="12"/>
  <c r="AA185" i="12"/>
  <c r="AK185" i="12"/>
  <c r="AT128" i="12"/>
  <c r="AA128" i="12"/>
  <c r="AK128" i="12"/>
  <c r="AR128" i="12"/>
  <c r="Y128" i="12"/>
  <c r="AR185" i="12"/>
  <c r="AI128" i="12"/>
  <c r="Y185" i="12"/>
  <c r="BA185" i="12"/>
  <c r="AI185" i="12"/>
  <c r="A129" i="12"/>
  <c r="AE192" i="1" s="1"/>
  <c r="D128" i="12"/>
  <c r="A129" i="13"/>
  <c r="D128" i="13"/>
  <c r="C47" i="17" l="1"/>
  <c r="S105" i="17" s="1"/>
  <c r="E47" i="17"/>
  <c r="U105" i="17" s="1"/>
  <c r="E47" i="18"/>
  <c r="R104" i="18" s="1"/>
  <c r="C47" i="18"/>
  <c r="P104" i="18" s="1"/>
  <c r="N110" i="19"/>
  <c r="W105" i="17"/>
  <c r="K111" i="17"/>
  <c r="L111" i="17" s="1"/>
  <c r="M111" i="17"/>
  <c r="N111" i="17" s="1"/>
  <c r="M111" i="19"/>
  <c r="N111" i="19" s="1"/>
  <c r="K110" i="18"/>
  <c r="L110" i="18" s="1"/>
  <c r="M110" i="18"/>
  <c r="N110" i="18" s="1"/>
  <c r="O111" i="17"/>
  <c r="P111" i="17" s="1"/>
  <c r="I112" i="17"/>
  <c r="G111" i="18"/>
  <c r="G112" i="19"/>
  <c r="K112" i="19" s="1"/>
  <c r="L112" i="19" s="1"/>
  <c r="AL186" i="12"/>
  <c r="AU186" i="12"/>
  <c r="C49" i="19" s="1"/>
  <c r="AU129" i="12"/>
  <c r="G48" i="17" s="1"/>
  <c r="AL129" i="12"/>
  <c r="AB129" i="12"/>
  <c r="AB186" i="12"/>
  <c r="BD186" i="12"/>
  <c r="E49" i="19" s="1"/>
  <c r="AK186" i="12"/>
  <c r="AA186" i="12"/>
  <c r="AT129" i="12"/>
  <c r="AT186" i="12"/>
  <c r="AK129" i="12"/>
  <c r="BC186" i="12"/>
  <c r="AA129" i="12"/>
  <c r="Y129" i="12"/>
  <c r="AI129" i="12"/>
  <c r="AR129" i="12"/>
  <c r="AR186" i="12"/>
  <c r="BA186" i="12"/>
  <c r="AI186" i="12"/>
  <c r="Y186" i="12"/>
  <c r="A130" i="13"/>
  <c r="D129" i="13"/>
  <c r="A130" i="12"/>
  <c r="AE193" i="1" s="1"/>
  <c r="D129" i="12"/>
  <c r="C48" i="18" l="1"/>
  <c r="P105" i="18" s="1"/>
  <c r="E48" i="17"/>
  <c r="U106" i="17" s="1"/>
  <c r="C48" i="17"/>
  <c r="S106" i="17" s="1"/>
  <c r="E48" i="18"/>
  <c r="R105" i="18" s="1"/>
  <c r="W106" i="17"/>
  <c r="K112" i="17"/>
  <c r="L112" i="17" s="1"/>
  <c r="M112" i="17"/>
  <c r="N112" i="17" s="1"/>
  <c r="M111" i="18"/>
  <c r="N111" i="18" s="1"/>
  <c r="K111" i="18"/>
  <c r="L111" i="18" s="1"/>
  <c r="M112" i="19"/>
  <c r="N112" i="19" s="1"/>
  <c r="O112" i="17"/>
  <c r="P112" i="17" s="1"/>
  <c r="I113" i="17"/>
  <c r="G113" i="19"/>
  <c r="G112" i="18"/>
  <c r="G113" i="18" s="1"/>
  <c r="BD187" i="12"/>
  <c r="E50" i="19" s="1"/>
  <c r="AU187" i="12"/>
  <c r="C50" i="19" s="1"/>
  <c r="AL130" i="12"/>
  <c r="AB130" i="12"/>
  <c r="AB187" i="12"/>
  <c r="AU130" i="12"/>
  <c r="G49" i="17" s="1"/>
  <c r="AL187" i="12"/>
  <c r="AK187" i="12"/>
  <c r="AT187" i="12"/>
  <c r="BC187" i="12"/>
  <c r="AK130" i="12"/>
  <c r="AA130" i="12"/>
  <c r="AT130" i="12"/>
  <c r="AA187" i="12"/>
  <c r="Y187" i="12"/>
  <c r="AI187" i="12"/>
  <c r="AR130" i="12"/>
  <c r="Y130" i="12"/>
  <c r="AR187" i="12"/>
  <c r="AI130" i="12"/>
  <c r="BA187" i="12"/>
  <c r="A131" i="12"/>
  <c r="AE194" i="1" s="1"/>
  <c r="D130" i="12"/>
  <c r="A131" i="13"/>
  <c r="D130" i="13"/>
  <c r="AF141" i="1" l="1"/>
  <c r="X95" i="1"/>
  <c r="B51" i="2" s="1"/>
  <c r="C49" i="2"/>
  <c r="X93" i="1"/>
  <c r="B49" i="2" s="1"/>
  <c r="X97" i="1"/>
  <c r="B53" i="2" s="1"/>
  <c r="AA138" i="1"/>
  <c r="K49" i="2" s="1"/>
  <c r="E49" i="18"/>
  <c r="R106" i="18" s="1"/>
  <c r="E49" i="17"/>
  <c r="U107" i="17" s="1"/>
  <c r="C49" i="17"/>
  <c r="S107" i="17" s="1"/>
  <c r="C49" i="18"/>
  <c r="P106" i="18" s="1"/>
  <c r="K113" i="18"/>
  <c r="L113" i="18" s="1"/>
  <c r="M113" i="18"/>
  <c r="N113" i="18" s="1"/>
  <c r="R113" i="18" s="1"/>
  <c r="K113" i="19"/>
  <c r="L113" i="19" s="1"/>
  <c r="G114" i="19"/>
  <c r="W107" i="17"/>
  <c r="M87" i="18"/>
  <c r="N87" i="18" s="1"/>
  <c r="R87" i="18" s="1"/>
  <c r="K93" i="18"/>
  <c r="L93" i="18" s="1"/>
  <c r="K74" i="18"/>
  <c r="L74" i="18" s="1"/>
  <c r="K77" i="18"/>
  <c r="L77" i="18" s="1"/>
  <c r="M78" i="18"/>
  <c r="N78" i="18" s="1"/>
  <c r="R78" i="18" s="1"/>
  <c r="K75" i="18"/>
  <c r="L75" i="18" s="1"/>
  <c r="M75" i="18"/>
  <c r="N75" i="18" s="1"/>
  <c r="R75" i="18" s="1"/>
  <c r="K78" i="18"/>
  <c r="L78" i="18" s="1"/>
  <c r="K79" i="18"/>
  <c r="L79" i="18" s="1"/>
  <c r="M79" i="18"/>
  <c r="N79" i="18" s="1"/>
  <c r="R79" i="18" s="1"/>
  <c r="M74" i="18"/>
  <c r="N74" i="18" s="1"/>
  <c r="R74" i="18" s="1"/>
  <c r="M77" i="18"/>
  <c r="N77" i="18" s="1"/>
  <c r="R77" i="18" s="1"/>
  <c r="K76" i="18"/>
  <c r="L76" i="18" s="1"/>
  <c r="K81" i="18"/>
  <c r="L81" i="18" s="1"/>
  <c r="M76" i="18"/>
  <c r="N76" i="18" s="1"/>
  <c r="R76" i="18" s="1"/>
  <c r="M81" i="18"/>
  <c r="N81" i="18" s="1"/>
  <c r="R81" i="18" s="1"/>
  <c r="M73" i="18"/>
  <c r="N73" i="18" s="1"/>
  <c r="R73" i="18" s="1"/>
  <c r="K72" i="18"/>
  <c r="L72" i="18" s="1"/>
  <c r="M80" i="18"/>
  <c r="N80" i="18" s="1"/>
  <c r="R80" i="18" s="1"/>
  <c r="K82" i="18"/>
  <c r="L82" i="18" s="1"/>
  <c r="M83" i="18"/>
  <c r="N83" i="18" s="1"/>
  <c r="R83" i="18" s="1"/>
  <c r="K80" i="18"/>
  <c r="L80" i="18" s="1"/>
  <c r="K83" i="18"/>
  <c r="L83" i="18" s="1"/>
  <c r="K84" i="18"/>
  <c r="L84" i="18" s="1"/>
  <c r="M82" i="18"/>
  <c r="N82" i="18" s="1"/>
  <c r="R82" i="18" s="1"/>
  <c r="M84" i="18"/>
  <c r="N84" i="18" s="1"/>
  <c r="R84" i="18" s="1"/>
  <c r="M85" i="18"/>
  <c r="N85" i="18" s="1"/>
  <c r="R85" i="18" s="1"/>
  <c r="K86" i="18"/>
  <c r="L86" i="18" s="1"/>
  <c r="K85" i="18"/>
  <c r="L85" i="18" s="1"/>
  <c r="M88" i="18"/>
  <c r="N88" i="18" s="1"/>
  <c r="R88" i="18" s="1"/>
  <c r="M88" i="19"/>
  <c r="N88" i="19" s="1"/>
  <c r="K89" i="19"/>
  <c r="L89" i="19" s="1"/>
  <c r="K90" i="19"/>
  <c r="L90" i="19" s="1"/>
  <c r="M85" i="19"/>
  <c r="N85" i="19" s="1"/>
  <c r="K85" i="19"/>
  <c r="L85" i="19" s="1"/>
  <c r="M89" i="19"/>
  <c r="N89" i="19" s="1"/>
  <c r="K87" i="19"/>
  <c r="L87" i="19" s="1"/>
  <c r="K88" i="19"/>
  <c r="L88" i="19" s="1"/>
  <c r="M86" i="19"/>
  <c r="N86" i="19" s="1"/>
  <c r="K86" i="19"/>
  <c r="L86" i="19" s="1"/>
  <c r="M90" i="19"/>
  <c r="N90" i="19" s="1"/>
  <c r="M87" i="19"/>
  <c r="N87" i="19" s="1"/>
  <c r="M92" i="19"/>
  <c r="N92" i="19" s="1"/>
  <c r="K91" i="19"/>
  <c r="L91" i="19" s="1"/>
  <c r="M91" i="19"/>
  <c r="N91" i="19" s="1"/>
  <c r="M93" i="19"/>
  <c r="N93" i="19" s="1"/>
  <c r="K92" i="19"/>
  <c r="L92" i="19" s="1"/>
  <c r="K62" i="18"/>
  <c r="L62" i="18" s="1"/>
  <c r="M62" i="18"/>
  <c r="N62" i="18" s="1"/>
  <c r="R62" i="18" s="1"/>
  <c r="K65" i="18"/>
  <c r="L65" i="18" s="1"/>
  <c r="M67" i="18"/>
  <c r="N67" i="18" s="1"/>
  <c r="R67" i="18" s="1"/>
  <c r="K68" i="18"/>
  <c r="L68" i="18" s="1"/>
  <c r="M64" i="18"/>
  <c r="N64" i="18" s="1"/>
  <c r="R64" i="18" s="1"/>
  <c r="K63" i="18"/>
  <c r="L63" i="18" s="1"/>
  <c r="M66" i="18"/>
  <c r="N66" i="18" s="1"/>
  <c r="R66" i="18" s="1"/>
  <c r="K67" i="18"/>
  <c r="L67" i="18" s="1"/>
  <c r="M65" i="18"/>
  <c r="N65" i="18" s="1"/>
  <c r="R65" i="18" s="1"/>
  <c r="K66" i="18"/>
  <c r="L66" i="18" s="1"/>
  <c r="K64" i="18"/>
  <c r="L64" i="18" s="1"/>
  <c r="M63" i="18"/>
  <c r="N63" i="18" s="1"/>
  <c r="R63" i="18" s="1"/>
  <c r="M68" i="18"/>
  <c r="N68" i="18" s="1"/>
  <c r="R68" i="18" s="1"/>
  <c r="M69" i="18"/>
  <c r="N69" i="18" s="1"/>
  <c r="R69" i="18" s="1"/>
  <c r="K71" i="18"/>
  <c r="L71" i="18" s="1"/>
  <c r="M70" i="18"/>
  <c r="N70" i="18" s="1"/>
  <c r="R70" i="18" s="1"/>
  <c r="K70" i="18"/>
  <c r="L70" i="18" s="1"/>
  <c r="K73" i="18"/>
  <c r="L73" i="18" s="1"/>
  <c r="K69" i="18"/>
  <c r="L69" i="18" s="1"/>
  <c r="M71" i="18"/>
  <c r="N71" i="18" s="1"/>
  <c r="R71" i="18" s="1"/>
  <c r="M72" i="18"/>
  <c r="N72" i="18" s="1"/>
  <c r="R72" i="18" s="1"/>
  <c r="K113" i="17"/>
  <c r="L113" i="17" s="1"/>
  <c r="M113" i="17"/>
  <c r="N113" i="17" s="1"/>
  <c r="L93" i="19"/>
  <c r="M113" i="19"/>
  <c r="N113" i="19" s="1"/>
  <c r="K63" i="19"/>
  <c r="L63" i="19" s="1"/>
  <c r="M63" i="19"/>
  <c r="N63" i="19" s="1"/>
  <c r="M65" i="19"/>
  <c r="N65" i="19" s="1"/>
  <c r="K64" i="19"/>
  <c r="L64" i="19" s="1"/>
  <c r="K67" i="19"/>
  <c r="L67" i="19" s="1"/>
  <c r="M64" i="19"/>
  <c r="N64" i="19" s="1"/>
  <c r="K69" i="19"/>
  <c r="L69" i="19" s="1"/>
  <c r="K65" i="19"/>
  <c r="L65" i="19" s="1"/>
  <c r="K66" i="19"/>
  <c r="L66" i="19" s="1"/>
  <c r="K68" i="19"/>
  <c r="L68" i="19" s="1"/>
  <c r="M68" i="19"/>
  <c r="N68" i="19" s="1"/>
  <c r="M67" i="19"/>
  <c r="N67" i="19" s="1"/>
  <c r="M66" i="19"/>
  <c r="N66" i="19" s="1"/>
  <c r="M70" i="19"/>
  <c r="N70" i="19" s="1"/>
  <c r="M71" i="19"/>
  <c r="N71" i="19" s="1"/>
  <c r="K70" i="19"/>
  <c r="L70" i="19" s="1"/>
  <c r="M69" i="19"/>
  <c r="N69" i="19" s="1"/>
  <c r="K71" i="19"/>
  <c r="L71" i="19" s="1"/>
  <c r="K72" i="19"/>
  <c r="L72" i="19" s="1"/>
  <c r="M72" i="19"/>
  <c r="N72" i="19" s="1"/>
  <c r="M73" i="19"/>
  <c r="N73" i="19" s="1"/>
  <c r="K74" i="19"/>
  <c r="L74" i="19" s="1"/>
  <c r="K73" i="19"/>
  <c r="L73" i="19" s="1"/>
  <c r="M74" i="19"/>
  <c r="N74" i="19" s="1"/>
  <c r="K75" i="19"/>
  <c r="L75" i="19" s="1"/>
  <c r="M76" i="19"/>
  <c r="N76" i="19" s="1"/>
  <c r="K76" i="19"/>
  <c r="L76" i="19" s="1"/>
  <c r="M78" i="19"/>
  <c r="N78" i="19" s="1"/>
  <c r="M75" i="19"/>
  <c r="N75" i="19" s="1"/>
  <c r="M77" i="19"/>
  <c r="N77" i="19" s="1"/>
  <c r="M79" i="19"/>
  <c r="N79" i="19" s="1"/>
  <c r="K77" i="19"/>
  <c r="L77" i="19" s="1"/>
  <c r="K78" i="19"/>
  <c r="L78" i="19" s="1"/>
  <c r="K80" i="19"/>
  <c r="L80" i="19" s="1"/>
  <c r="M80" i="19"/>
  <c r="N80" i="19" s="1"/>
  <c r="K79" i="19"/>
  <c r="L79" i="19" s="1"/>
  <c r="K81" i="19"/>
  <c r="L81" i="19" s="1"/>
  <c r="M81" i="19"/>
  <c r="N81" i="19" s="1"/>
  <c r="M82" i="19"/>
  <c r="N82" i="19" s="1"/>
  <c r="K83" i="19"/>
  <c r="L83" i="19" s="1"/>
  <c r="K82" i="19"/>
  <c r="L82" i="19" s="1"/>
  <c r="M83" i="19"/>
  <c r="N83" i="19" s="1"/>
  <c r="K84" i="19"/>
  <c r="L84" i="19" s="1"/>
  <c r="M84" i="19"/>
  <c r="N84" i="19" s="1"/>
  <c r="O113" i="17"/>
  <c r="P113" i="17" s="1"/>
  <c r="K112" i="18"/>
  <c r="L112" i="18" s="1"/>
  <c r="M112" i="18"/>
  <c r="N112" i="18" s="1"/>
  <c r="I114" i="17"/>
  <c r="BD188" i="12"/>
  <c r="E51" i="19" s="1"/>
  <c r="AU188" i="12"/>
  <c r="C51" i="19" s="1"/>
  <c r="AB188" i="12"/>
  <c r="AU131" i="12"/>
  <c r="G50" i="17" s="1"/>
  <c r="AL188" i="12"/>
  <c r="AL131" i="12"/>
  <c r="AB131" i="12"/>
  <c r="AK188" i="12"/>
  <c r="AA188" i="12"/>
  <c r="AT188" i="12"/>
  <c r="BC188" i="12"/>
  <c r="AK131" i="12"/>
  <c r="AT131" i="12"/>
  <c r="AA131" i="12"/>
  <c r="AR131" i="12"/>
  <c r="Y188" i="12"/>
  <c r="AI131" i="12"/>
  <c r="AR188" i="12"/>
  <c r="AI188" i="12"/>
  <c r="Y131" i="12"/>
  <c r="BA188" i="12"/>
  <c r="D131" i="13"/>
  <c r="A132" i="13"/>
  <c r="A132" i="12"/>
  <c r="AE195" i="1" s="1"/>
  <c r="AF139" i="1" s="1"/>
  <c r="D131" i="12"/>
  <c r="AF143" i="1" l="1"/>
  <c r="AE138" i="1"/>
  <c r="W138" i="1" s="1"/>
  <c r="C50" i="18"/>
  <c r="P107" i="18" s="1"/>
  <c r="E50" i="17"/>
  <c r="U108" i="17" s="1"/>
  <c r="C50" i="17"/>
  <c r="S108" i="17" s="1"/>
  <c r="E50" i="18"/>
  <c r="R107" i="18" s="1"/>
  <c r="P86" i="18"/>
  <c r="P82" i="18"/>
  <c r="P77" i="18"/>
  <c r="P71" i="18"/>
  <c r="P83" i="18"/>
  <c r="P70" i="18"/>
  <c r="P85" i="18"/>
  <c r="P76" i="18"/>
  <c r="P79" i="18"/>
  <c r="P67" i="18"/>
  <c r="P68" i="18"/>
  <c r="P84" i="18"/>
  <c r="P78" i="18"/>
  <c r="P113" i="18"/>
  <c r="P69" i="18"/>
  <c r="P64" i="18"/>
  <c r="P74" i="18"/>
  <c r="P73" i="18"/>
  <c r="P66" i="18"/>
  <c r="P63" i="18"/>
  <c r="P65" i="18"/>
  <c r="P80" i="18"/>
  <c r="P72" i="18"/>
  <c r="P81" i="18"/>
  <c r="P75" i="18"/>
  <c r="P93" i="18"/>
  <c r="P62" i="18"/>
  <c r="W108" i="17"/>
  <c r="K114" i="19"/>
  <c r="L114" i="19" s="1"/>
  <c r="M114" i="19"/>
  <c r="N114" i="19" s="1"/>
  <c r="O84" i="17"/>
  <c r="P84" i="17" s="1"/>
  <c r="M84" i="17"/>
  <c r="N84" i="17" s="1"/>
  <c r="K89" i="17"/>
  <c r="L89" i="17" s="1"/>
  <c r="K88" i="17"/>
  <c r="L88" i="17" s="1"/>
  <c r="K91" i="17"/>
  <c r="L91" i="17" s="1"/>
  <c r="O88" i="17"/>
  <c r="P88" i="17" s="1"/>
  <c r="O68" i="17"/>
  <c r="P68" i="17" s="1"/>
  <c r="O66" i="17"/>
  <c r="P66" i="17" s="1"/>
  <c r="K65" i="17"/>
  <c r="L65" i="17" s="1"/>
  <c r="O70" i="17"/>
  <c r="P70" i="17" s="1"/>
  <c r="M75" i="17"/>
  <c r="N75" i="17" s="1"/>
  <c r="O67" i="17"/>
  <c r="P67" i="17" s="1"/>
  <c r="K76" i="17"/>
  <c r="L76" i="17" s="1"/>
  <c r="O72" i="17"/>
  <c r="P72" i="17" s="1"/>
  <c r="K74" i="17"/>
  <c r="L74" i="17" s="1"/>
  <c r="K71" i="17"/>
  <c r="L71" i="17" s="1"/>
  <c r="K72" i="17"/>
  <c r="L72" i="17" s="1"/>
  <c r="K68" i="17"/>
  <c r="L68" i="17" s="1"/>
  <c r="M72" i="17"/>
  <c r="N72" i="17" s="1"/>
  <c r="K73" i="17"/>
  <c r="L73" i="17" s="1"/>
  <c r="M68" i="17"/>
  <c r="N68" i="17" s="1"/>
  <c r="O65" i="17"/>
  <c r="P65" i="17" s="1"/>
  <c r="O71" i="17"/>
  <c r="P71" i="17" s="1"/>
  <c r="M71" i="17"/>
  <c r="N71" i="17" s="1"/>
  <c r="K75" i="17"/>
  <c r="L75" i="17" s="1"/>
  <c r="O64" i="17"/>
  <c r="P64" i="17" s="1"/>
  <c r="M73" i="17"/>
  <c r="N73" i="17" s="1"/>
  <c r="M69" i="17"/>
  <c r="N69" i="17" s="1"/>
  <c r="O76" i="17"/>
  <c r="P76" i="17" s="1"/>
  <c r="O73" i="17"/>
  <c r="P73" i="17" s="1"/>
  <c r="K78" i="17"/>
  <c r="L78" i="17" s="1"/>
  <c r="K70" i="17"/>
  <c r="L70" i="17" s="1"/>
  <c r="K69" i="17"/>
  <c r="L69" i="17" s="1"/>
  <c r="O74" i="17"/>
  <c r="P74" i="17" s="1"/>
  <c r="M74" i="17"/>
  <c r="N74" i="17" s="1"/>
  <c r="M76" i="17"/>
  <c r="N76" i="17" s="1"/>
  <c r="O75" i="17"/>
  <c r="P75" i="17" s="1"/>
  <c r="O77" i="17"/>
  <c r="P77" i="17" s="1"/>
  <c r="M70" i="17"/>
  <c r="N70" i="17" s="1"/>
  <c r="O69" i="17"/>
  <c r="P69" i="17" s="1"/>
  <c r="M67" i="17"/>
  <c r="N67" i="17" s="1"/>
  <c r="M66" i="17"/>
  <c r="N66" i="17" s="1"/>
  <c r="O78" i="17"/>
  <c r="P78" i="17" s="1"/>
  <c r="K77" i="17"/>
  <c r="L77" i="17" s="1"/>
  <c r="M78" i="17"/>
  <c r="N78" i="17" s="1"/>
  <c r="K79" i="17"/>
  <c r="L79" i="17" s="1"/>
  <c r="M79" i="17"/>
  <c r="N79" i="17" s="1"/>
  <c r="M77" i="17"/>
  <c r="N77" i="17" s="1"/>
  <c r="O79" i="17"/>
  <c r="P79" i="17" s="1"/>
  <c r="K80" i="17"/>
  <c r="L80" i="17" s="1"/>
  <c r="O81" i="17"/>
  <c r="P81" i="17" s="1"/>
  <c r="O82" i="17"/>
  <c r="P82" i="17" s="1"/>
  <c r="K81" i="17"/>
  <c r="L81" i="17" s="1"/>
  <c r="M82" i="17"/>
  <c r="N82" i="17" s="1"/>
  <c r="M80" i="17"/>
  <c r="N80" i="17" s="1"/>
  <c r="O83" i="17"/>
  <c r="P83" i="17" s="1"/>
  <c r="O80" i="17"/>
  <c r="P80" i="17" s="1"/>
  <c r="M81" i="17"/>
  <c r="N81" i="17" s="1"/>
  <c r="K82" i="17"/>
  <c r="L82" i="17" s="1"/>
  <c r="K83" i="17"/>
  <c r="L83" i="17" s="1"/>
  <c r="M86" i="17"/>
  <c r="N86" i="17" s="1"/>
  <c r="O85" i="17"/>
  <c r="P85" i="17" s="1"/>
  <c r="K85" i="17"/>
  <c r="L85" i="17" s="1"/>
  <c r="O63" i="17"/>
  <c r="P63" i="17" s="1"/>
  <c r="M63" i="17"/>
  <c r="N63" i="17" s="1"/>
  <c r="K64" i="17"/>
  <c r="L64" i="17" s="1"/>
  <c r="K67" i="17"/>
  <c r="L67" i="17" s="1"/>
  <c r="K66" i="17"/>
  <c r="L66" i="17" s="1"/>
  <c r="M64" i="17"/>
  <c r="N64" i="17" s="1"/>
  <c r="M65" i="17"/>
  <c r="N65" i="17" s="1"/>
  <c r="M114" i="17"/>
  <c r="N114" i="17" s="1"/>
  <c r="K114" i="17"/>
  <c r="L114" i="17" s="1"/>
  <c r="O114" i="17"/>
  <c r="P114" i="17" s="1"/>
  <c r="K63" i="17"/>
  <c r="L63" i="17" s="1"/>
  <c r="AU189" i="12"/>
  <c r="C52" i="19" s="1"/>
  <c r="AL189" i="12"/>
  <c r="AB189" i="12"/>
  <c r="BD189" i="12"/>
  <c r="E52" i="19" s="1"/>
  <c r="AL132" i="12"/>
  <c r="AB132" i="12"/>
  <c r="AU132" i="12"/>
  <c r="G51" i="17" s="1"/>
  <c r="BC189" i="12"/>
  <c r="AT189" i="12"/>
  <c r="AK189" i="12"/>
  <c r="AA189" i="12"/>
  <c r="AA132" i="12"/>
  <c r="AT132" i="12"/>
  <c r="AK132" i="12"/>
  <c r="AR189" i="12"/>
  <c r="Y189" i="12"/>
  <c r="AI189" i="12"/>
  <c r="BA189" i="12"/>
  <c r="AR132" i="12"/>
  <c r="AI132" i="12"/>
  <c r="Y132" i="12"/>
  <c r="D132" i="12"/>
  <c r="A133" i="12"/>
  <c r="AE196" i="1" s="1"/>
  <c r="A133" i="13"/>
  <c r="D132" i="13"/>
  <c r="E51" i="18" l="1"/>
  <c r="R108" i="18" s="1"/>
  <c r="E51" i="17"/>
  <c r="U109" i="17" s="1"/>
  <c r="C51" i="17"/>
  <c r="S109" i="17" s="1"/>
  <c r="C51" i="18"/>
  <c r="P108" i="18" s="1"/>
  <c r="W109" i="17"/>
  <c r="AL190" i="12"/>
  <c r="BD190" i="12"/>
  <c r="E53" i="19" s="1"/>
  <c r="AB190" i="12"/>
  <c r="AU133" i="12"/>
  <c r="G52" i="17" s="1"/>
  <c r="AU190" i="12"/>
  <c r="C53" i="19" s="1"/>
  <c r="AL133" i="12"/>
  <c r="AB133" i="12"/>
  <c r="BC190" i="12"/>
  <c r="AT190" i="12"/>
  <c r="AK190" i="12"/>
  <c r="AA190" i="12"/>
  <c r="AT133" i="12"/>
  <c r="AA133" i="12"/>
  <c r="AK133" i="12"/>
  <c r="AI133" i="12"/>
  <c r="Y133" i="12"/>
  <c r="AR133" i="12"/>
  <c r="AR190" i="12"/>
  <c r="AI190" i="12"/>
  <c r="Y190" i="12"/>
  <c r="BA190" i="12"/>
  <c r="A134" i="13"/>
  <c r="D133" i="13"/>
  <c r="A134" i="12"/>
  <c r="AE197" i="1" s="1"/>
  <c r="AF144" i="1" s="1"/>
  <c r="D133" i="12"/>
  <c r="E52" i="17" l="1"/>
  <c r="U110" i="17" s="1"/>
  <c r="E52" i="18"/>
  <c r="R109" i="18" s="1"/>
  <c r="C52" i="17"/>
  <c r="S110" i="17" s="1"/>
  <c r="C52" i="18"/>
  <c r="P109" i="18" s="1"/>
  <c r="W110" i="17"/>
  <c r="BD191" i="12"/>
  <c r="E54" i="19" s="1"/>
  <c r="AU191" i="12"/>
  <c r="C54" i="19" s="1"/>
  <c r="AL191" i="12"/>
  <c r="AL134" i="12"/>
  <c r="AU134" i="12"/>
  <c r="G53" i="17" s="1"/>
  <c r="AB134" i="12"/>
  <c r="AB191" i="12"/>
  <c r="BC191" i="12"/>
  <c r="AK191" i="12"/>
  <c r="AT191" i="12"/>
  <c r="AT134" i="12"/>
  <c r="AK134" i="12"/>
  <c r="AA134" i="12"/>
  <c r="AA191" i="12"/>
  <c r="AR191" i="12"/>
  <c r="Y191" i="12"/>
  <c r="AI191" i="12"/>
  <c r="BA191" i="12"/>
  <c r="Y134" i="12"/>
  <c r="AR134" i="12"/>
  <c r="AI134" i="12"/>
  <c r="A135" i="12"/>
  <c r="AE198" i="1" s="1"/>
  <c r="AF140" i="1" s="1"/>
  <c r="D134" i="12"/>
  <c r="A135" i="13"/>
  <c r="D135" i="13" s="1"/>
  <c r="D134" i="13"/>
  <c r="AF142" i="1" l="1"/>
  <c r="AF138" i="1"/>
  <c r="C53" i="18"/>
  <c r="P110" i="18" s="1"/>
  <c r="E53" i="18"/>
  <c r="R110" i="18" s="1"/>
  <c r="E53" i="17"/>
  <c r="U111" i="17" s="1"/>
  <c r="C53" i="17"/>
  <c r="S111" i="17" s="1"/>
  <c r="W111" i="17"/>
  <c r="BD192" i="12"/>
  <c r="E55" i="19" s="1"/>
  <c r="AU192" i="12"/>
  <c r="C55" i="19" s="1"/>
  <c r="AL192" i="12"/>
  <c r="E54" i="18" s="1"/>
  <c r="AB192" i="12"/>
  <c r="C54" i="18" s="1"/>
  <c r="AU135" i="12"/>
  <c r="G54" i="17" s="1"/>
  <c r="AL135" i="12"/>
  <c r="E54" i="17" s="1"/>
  <c r="AB135" i="12"/>
  <c r="BC192" i="12"/>
  <c r="AT192" i="12"/>
  <c r="AK192" i="12"/>
  <c r="AA192" i="12"/>
  <c r="AA135" i="12"/>
  <c r="AT135" i="12"/>
  <c r="AK135" i="12"/>
  <c r="BA192" i="12"/>
  <c r="Y192" i="12"/>
  <c r="Y135" i="12"/>
  <c r="AI135" i="12"/>
  <c r="AI192" i="12"/>
  <c r="AR192" i="12"/>
  <c r="AR135" i="12"/>
  <c r="D135" i="12"/>
  <c r="C54" i="17" l="1"/>
  <c r="S112" i="17" s="1"/>
  <c r="S113" i="17"/>
  <c r="W112" i="17"/>
  <c r="P112" i="18"/>
  <c r="P111" i="18"/>
  <c r="U112" i="17"/>
  <c r="U113" i="17" l="1"/>
  <c r="W113" i="17"/>
  <c r="R112" i="18"/>
  <c r="R111" i="18"/>
  <c r="I111" i="1" l="1"/>
  <c r="X94" i="1"/>
  <c r="B50" i="2" s="1"/>
  <c r="C54" i="2"/>
  <c r="AA141" i="1"/>
  <c r="K52" i="2" s="1"/>
  <c r="AE141" i="1" l="1"/>
  <c r="W141" i="1" s="1"/>
  <c r="AA144" i="1"/>
  <c r="K55" i="2" s="1"/>
  <c r="C52" i="2"/>
  <c r="X99" i="1"/>
  <c r="B55" i="2" s="1"/>
  <c r="I110" i="1"/>
  <c r="C55" i="2"/>
  <c r="X96" i="1"/>
  <c r="B52" i="2" s="1"/>
  <c r="I108" i="1"/>
  <c r="X98" i="1"/>
  <c r="B54" i="2" s="1"/>
  <c r="AA143" i="1"/>
  <c r="K54" i="2" s="1"/>
  <c r="C50" i="2"/>
  <c r="AA139" i="1"/>
  <c r="K50" i="2" s="1"/>
  <c r="AE144" i="1" l="1"/>
  <c r="W144" i="1" s="1"/>
  <c r="AE143" i="1"/>
  <c r="W143" i="1" s="1"/>
  <c r="AE139" i="1"/>
  <c r="W139" i="1" s="1"/>
  <c r="X139" i="1" l="1"/>
  <c r="X152" i="1" s="1"/>
  <c r="AT149" i="1" s="1"/>
  <c r="U198" i="1" l="1"/>
  <c r="AQ195" i="1" s="1"/>
  <c r="X170" i="1"/>
  <c r="AT167" i="1" s="1"/>
  <c r="U185" i="1"/>
  <c r="AQ182" i="1" s="1"/>
  <c r="U172" i="1"/>
  <c r="AQ169" i="1" s="1"/>
  <c r="X193" i="1"/>
  <c r="AT190" i="1" s="1"/>
  <c r="AH138" i="1"/>
  <c r="X184" i="1"/>
  <c r="AT181" i="1" s="1"/>
  <c r="W183" i="1"/>
  <c r="AS180" i="1" s="1"/>
  <c r="U200" i="1"/>
  <c r="Y200" i="1" s="1"/>
  <c r="V161" i="1"/>
  <c r="W157" i="1"/>
  <c r="AS154" i="1" s="1"/>
  <c r="W191" i="1"/>
  <c r="AS188" i="1" s="1"/>
  <c r="X191" i="1"/>
  <c r="AT188" i="1" s="1"/>
  <c r="X187" i="1"/>
  <c r="AT184" i="1" s="1"/>
  <c r="X198" i="1"/>
  <c r="AT195" i="1" s="1"/>
  <c r="V153" i="1"/>
  <c r="X169" i="1"/>
  <c r="AT166" i="1" s="1"/>
  <c r="W194" i="1"/>
  <c r="AS191" i="1" s="1"/>
  <c r="X167" i="1"/>
  <c r="AT164" i="1" s="1"/>
  <c r="W198" i="1"/>
  <c r="AS195" i="1" s="1"/>
  <c r="X195" i="1"/>
  <c r="AT192" i="1" s="1"/>
  <c r="V168" i="1"/>
  <c r="W199" i="1"/>
  <c r="AS196" i="1" s="1"/>
  <c r="V192" i="1"/>
  <c r="W151" i="1"/>
  <c r="AS148" i="1" s="1"/>
  <c r="W166" i="1"/>
  <c r="AS163" i="1" s="1"/>
  <c r="W163" i="1"/>
  <c r="AS160" i="1" s="1"/>
  <c r="U197" i="1"/>
  <c r="AQ194" i="1" s="1"/>
  <c r="W167" i="1"/>
  <c r="AS164" i="1" s="1"/>
  <c r="W158" i="1"/>
  <c r="AS155" i="1" s="1"/>
  <c r="W159" i="1"/>
  <c r="AS156" i="1" s="1"/>
  <c r="V158" i="1"/>
  <c r="X196" i="1"/>
  <c r="AT193" i="1" s="1"/>
  <c r="U170" i="1"/>
  <c r="AQ167" i="1" s="1"/>
  <c r="V200" i="1"/>
  <c r="V154" i="1"/>
  <c r="V172" i="1"/>
  <c r="W190" i="1"/>
  <c r="AS187" i="1" s="1"/>
  <c r="X140" i="1"/>
  <c r="AL142" i="1" s="1"/>
  <c r="H29" i="2" s="1"/>
  <c r="V170" i="1"/>
  <c r="U176" i="1"/>
  <c r="AQ173" i="1" s="1"/>
  <c r="V169" i="1"/>
  <c r="W155" i="1"/>
  <c r="AS152" i="1" s="1"/>
  <c r="W162" i="1"/>
  <c r="AS159" i="1" s="1"/>
  <c r="W195" i="1"/>
  <c r="AS192" i="1" s="1"/>
  <c r="X173" i="1"/>
  <c r="AT170" i="1" s="1"/>
  <c r="U155" i="1"/>
  <c r="AQ152" i="1" s="1"/>
  <c r="X180" i="1"/>
  <c r="AT177" i="1" s="1"/>
  <c r="V176" i="1"/>
  <c r="X188" i="1"/>
  <c r="AT185" i="1" s="1"/>
  <c r="X165" i="1"/>
  <c r="AT162" i="1" s="1"/>
  <c r="W188" i="1"/>
  <c r="AS185" i="1" s="1"/>
  <c r="W197" i="1"/>
  <c r="AS194" i="1" s="1"/>
  <c r="W160" i="1"/>
  <c r="AS157" i="1" s="1"/>
  <c r="V167" i="1"/>
  <c r="W161" i="1"/>
  <c r="AS158" i="1" s="1"/>
  <c r="V155" i="1"/>
  <c r="X175" i="1"/>
  <c r="AT172" i="1" s="1"/>
  <c r="V171" i="1"/>
  <c r="X153" i="1"/>
  <c r="AT150" i="1" s="1"/>
  <c r="W180" i="1"/>
  <c r="AS177" i="1" s="1"/>
  <c r="U163" i="1"/>
  <c r="AQ160" i="1" s="1"/>
  <c r="U167" i="1"/>
  <c r="AQ164" i="1" s="1"/>
  <c r="W200" i="1"/>
  <c r="AS197" i="1" s="1"/>
  <c r="W196" i="1"/>
  <c r="AS193" i="1" s="1"/>
  <c r="V162" i="1"/>
  <c r="U157" i="1"/>
  <c r="AQ154" i="1" s="1"/>
  <c r="U196" i="1"/>
  <c r="AQ193" i="1" s="1"/>
  <c r="W173" i="1"/>
  <c r="AS170" i="1" s="1"/>
  <c r="U164" i="1"/>
  <c r="AQ161" i="1" s="1"/>
  <c r="X182" i="1"/>
  <c r="AT179" i="1" s="1"/>
  <c r="X183" i="1"/>
  <c r="AT180" i="1" s="1"/>
  <c r="X163" i="1"/>
  <c r="AT160" i="1" s="1"/>
  <c r="X172" i="1"/>
  <c r="AT169" i="1" s="1"/>
  <c r="W182" i="1"/>
  <c r="AS179" i="1" s="1"/>
  <c r="V199" i="1"/>
  <c r="U187" i="1"/>
  <c r="AQ184" i="1" s="1"/>
  <c r="W165" i="1"/>
  <c r="AS162" i="1" s="1"/>
  <c r="U124" i="1"/>
  <c r="AN140" i="1" s="1"/>
  <c r="W187" i="1"/>
  <c r="AS184" i="1" s="1"/>
  <c r="X190" i="1"/>
  <c r="AT187" i="1" s="1"/>
  <c r="U194" i="1"/>
  <c r="AQ191" i="1" s="1"/>
  <c r="U184" i="1"/>
  <c r="AQ181" i="1" s="1"/>
  <c r="U189" i="1"/>
  <c r="AQ186" i="1" s="1"/>
  <c r="X162" i="1"/>
  <c r="AT159" i="1" s="1"/>
  <c r="U169" i="1"/>
  <c r="AQ166" i="1" s="1"/>
  <c r="W164" i="1"/>
  <c r="AS161" i="1" s="1"/>
  <c r="X156" i="1"/>
  <c r="AT153" i="1" s="1"/>
  <c r="X149" i="1"/>
  <c r="AT146" i="1" s="1"/>
  <c r="U174" i="1"/>
  <c r="AQ171" i="1" s="1"/>
  <c r="X181" i="1"/>
  <c r="AT178" i="1" s="1"/>
  <c r="V177" i="1"/>
  <c r="X171" i="1"/>
  <c r="AT168" i="1" s="1"/>
  <c r="W150" i="1"/>
  <c r="AS147" i="1" s="1"/>
  <c r="V195" i="1"/>
  <c r="X164" i="1"/>
  <c r="AT161" i="1" s="1"/>
  <c r="U151" i="1"/>
  <c r="AQ148" i="1" s="1"/>
  <c r="X155" i="1"/>
  <c r="AT152" i="1" s="1"/>
  <c r="X157" i="1"/>
  <c r="AT154" i="1" s="1"/>
  <c r="U154" i="1"/>
  <c r="AQ151" i="1" s="1"/>
  <c r="V175" i="1"/>
  <c r="V198" i="1"/>
  <c r="X168" i="1"/>
  <c r="AT165" i="1" s="1"/>
  <c r="U175" i="1"/>
  <c r="AQ172" i="1" s="1"/>
  <c r="W186" i="1"/>
  <c r="AS183" i="1" s="1"/>
  <c r="X174" i="1"/>
  <c r="AT171" i="1" s="1"/>
  <c r="W184" i="1"/>
  <c r="AS181" i="1" s="1"/>
  <c r="V163" i="1"/>
  <c r="U166" i="1"/>
  <c r="AQ163" i="1" s="1"/>
  <c r="V185" i="1"/>
  <c r="V183" i="1"/>
  <c r="V157" i="1"/>
  <c r="X150" i="1"/>
  <c r="AT147" i="1" s="1"/>
  <c r="W177" i="1"/>
  <c r="AS174" i="1" s="1"/>
  <c r="U162" i="1"/>
  <c r="AQ159" i="1" s="1"/>
  <c r="U181" i="1"/>
  <c r="AQ178" i="1" s="1"/>
  <c r="U177" i="1"/>
  <c r="AQ174" i="1" s="1"/>
  <c r="V164" i="1"/>
  <c r="V181" i="1"/>
  <c r="V150" i="1"/>
  <c r="U199" i="1"/>
  <c r="AQ196" i="1" s="1"/>
  <c r="AQ197" i="1" s="1"/>
  <c r="W189" i="1"/>
  <c r="AS186" i="1" s="1"/>
  <c r="U191" i="1"/>
  <c r="AQ188" i="1" s="1"/>
  <c r="W193" i="1"/>
  <c r="AS190" i="1" s="1"/>
  <c r="U150" i="1"/>
  <c r="AQ147" i="1" s="1"/>
  <c r="W178" i="1"/>
  <c r="AS175" i="1" s="1"/>
  <c r="U159" i="1"/>
  <c r="AQ156" i="1" s="1"/>
  <c r="V191" i="1"/>
  <c r="W172" i="1"/>
  <c r="AS169" i="1" s="1"/>
  <c r="W154" i="1"/>
  <c r="AS151" i="1" s="1"/>
  <c r="V196" i="1"/>
  <c r="U178" i="1"/>
  <c r="AQ175" i="1" s="1"/>
  <c r="X194" i="1"/>
  <c r="AT191" i="1" s="1"/>
  <c r="V187" i="1"/>
  <c r="V178" i="1"/>
  <c r="X197" i="1"/>
  <c r="AT194" i="1" s="1"/>
  <c r="V180" i="1"/>
  <c r="V188" i="1"/>
  <c r="X192" i="1"/>
  <c r="AT189" i="1" s="1"/>
  <c r="V174" i="1"/>
  <c r="W185" i="1"/>
  <c r="AS182" i="1" s="1"/>
  <c r="W153" i="1"/>
  <c r="AS150" i="1" s="1"/>
  <c r="X158" i="1"/>
  <c r="AT155" i="1" s="1"/>
  <c r="U156" i="1"/>
  <c r="AQ153" i="1" s="1"/>
  <c r="V194" i="1"/>
  <c r="X154" i="1"/>
  <c r="AT151" i="1" s="1"/>
  <c r="V160" i="1"/>
  <c r="X166" i="1"/>
  <c r="AT163" i="1" s="1"/>
  <c r="U188" i="1"/>
  <c r="AQ185" i="1" s="1"/>
  <c r="V182" i="1"/>
  <c r="W169" i="1"/>
  <c r="AS166" i="1" s="1"/>
  <c r="W176" i="1"/>
  <c r="AS173" i="1" s="1"/>
  <c r="W175" i="1"/>
  <c r="AS172" i="1" s="1"/>
  <c r="V151" i="1"/>
  <c r="W156" i="1"/>
  <c r="AS153" i="1" s="1"/>
  <c r="U179" i="1"/>
  <c r="AQ176" i="1" s="1"/>
  <c r="W181" i="1"/>
  <c r="AS178" i="1" s="1"/>
  <c r="U192" i="1"/>
  <c r="AQ189" i="1" s="1"/>
  <c r="V165" i="1"/>
  <c r="W171" i="1"/>
  <c r="AS168" i="1" s="1"/>
  <c r="U160" i="1"/>
  <c r="AQ157" i="1" s="1"/>
  <c r="U161" i="1"/>
  <c r="AQ158" i="1" s="1"/>
  <c r="V156" i="1"/>
  <c r="V124" i="1"/>
  <c r="AO140" i="1" s="1"/>
  <c r="U149" i="1"/>
  <c r="AQ146" i="1" s="1"/>
  <c r="W179" i="1"/>
  <c r="AS176" i="1" s="1"/>
  <c r="U173" i="1"/>
  <c r="AQ170" i="1" s="1"/>
  <c r="AI138" i="1"/>
  <c r="X186" i="1"/>
  <c r="AT183" i="1" s="1"/>
  <c r="X179" i="1"/>
  <c r="AT176" i="1" s="1"/>
  <c r="V184" i="1"/>
  <c r="V179" i="1"/>
  <c r="W192" i="1"/>
  <c r="AS189" i="1" s="1"/>
  <c r="W152" i="1"/>
  <c r="AS149" i="1" s="1"/>
  <c r="V152" i="1"/>
  <c r="X177" i="1"/>
  <c r="AT174" i="1" s="1"/>
  <c r="X160" i="1"/>
  <c r="AT157" i="1" s="1"/>
  <c r="X199" i="1"/>
  <c r="AT196" i="1" s="1"/>
  <c r="U165" i="1"/>
  <c r="AQ162" i="1" s="1"/>
  <c r="W174" i="1"/>
  <c r="AS171" i="1" s="1"/>
  <c r="U180" i="1"/>
  <c r="AQ177" i="1" s="1"/>
  <c r="U168" i="1"/>
  <c r="AQ165" i="1" s="1"/>
  <c r="V190" i="1"/>
  <c r="U193" i="1"/>
  <c r="AQ190" i="1" s="1"/>
  <c r="V149" i="1"/>
  <c r="U182" i="1"/>
  <c r="AQ179" i="1" s="1"/>
  <c r="X176" i="1"/>
  <c r="AT173" i="1" s="1"/>
  <c r="U152" i="1"/>
  <c r="AQ149" i="1" s="1"/>
  <c r="U171" i="1"/>
  <c r="AQ168" i="1" s="1"/>
  <c r="X185" i="1"/>
  <c r="AT182" i="1" s="1"/>
  <c r="X159" i="1"/>
  <c r="AT156" i="1" s="1"/>
  <c r="V197" i="1"/>
  <c r="X189" i="1"/>
  <c r="AT186" i="1" s="1"/>
  <c r="U195" i="1"/>
  <c r="AQ192" i="1" s="1"/>
  <c r="X178" i="1"/>
  <c r="AT175" i="1" s="1"/>
  <c r="V189" i="1"/>
  <c r="U153" i="1"/>
  <c r="AQ150" i="1" s="1"/>
  <c r="W170" i="1"/>
  <c r="AS167" i="1" s="1"/>
  <c r="U183" i="1"/>
  <c r="AQ180" i="1" s="1"/>
  <c r="V193" i="1"/>
  <c r="W168" i="1"/>
  <c r="AS165" i="1" s="1"/>
  <c r="X151" i="1"/>
  <c r="AT148" i="1" s="1"/>
  <c r="V166" i="1"/>
  <c r="V159" i="1"/>
  <c r="U186" i="1"/>
  <c r="AQ183" i="1" s="1"/>
  <c r="X161" i="1"/>
  <c r="AT158" i="1" s="1"/>
  <c r="X200" i="1"/>
  <c r="AT197" i="1" s="1"/>
  <c r="W149" i="1"/>
  <c r="AS146" i="1" s="1"/>
  <c r="V186" i="1"/>
  <c r="V173" i="1"/>
  <c r="U158" i="1"/>
  <c r="AQ155" i="1" s="1"/>
  <c r="U190" i="1"/>
  <c r="AQ187" i="1" s="1"/>
  <c r="Y198" i="1" l="1"/>
  <c r="Y176" i="1"/>
  <c r="Y157" i="1"/>
  <c r="Y151" i="1"/>
  <c r="Y150" i="1"/>
  <c r="Y196" i="1"/>
  <c r="Y159" i="1"/>
  <c r="Y172" i="1"/>
  <c r="Y155" i="1"/>
  <c r="Y185" i="1"/>
  <c r="Y170" i="1"/>
  <c r="Y194" i="1"/>
  <c r="Y169" i="1"/>
  <c r="Y181" i="1"/>
  <c r="Y154" i="1"/>
  <c r="Y167" i="1"/>
  <c r="Y191" i="1"/>
  <c r="Y162" i="1"/>
  <c r="Y175" i="1"/>
  <c r="Y189" i="1"/>
  <c r="Y184" i="1"/>
  <c r="Z200" i="1"/>
  <c r="AA200" i="1" s="1"/>
  <c r="Y177" i="1"/>
  <c r="Y197" i="1"/>
  <c r="Z164" i="1"/>
  <c r="AA164" i="1" s="1"/>
  <c r="AR161" i="1" s="1"/>
  <c r="Y163" i="1"/>
  <c r="Y199" i="1"/>
  <c r="Y187" i="1"/>
  <c r="Y188" i="1"/>
  <c r="Y174" i="1"/>
  <c r="Y166" i="1"/>
  <c r="Y164" i="1"/>
  <c r="Z176" i="1"/>
  <c r="AA176" i="1" s="1"/>
  <c r="AR173" i="1" s="1"/>
  <c r="Z184" i="1"/>
  <c r="AA184" i="1" s="1"/>
  <c r="AR181" i="1" s="1"/>
  <c r="Y192" i="1"/>
  <c r="Y195" i="1"/>
  <c r="Y178" i="1"/>
  <c r="Z154" i="1"/>
  <c r="AA154" i="1" s="1"/>
  <c r="AR151" i="1" s="1"/>
  <c r="Z180" i="1"/>
  <c r="AA180" i="1" s="1"/>
  <c r="AR177" i="1" s="1"/>
  <c r="Y168" i="1"/>
  <c r="Z191" i="1"/>
  <c r="AA191" i="1" s="1"/>
  <c r="AR188" i="1" s="1"/>
  <c r="Z173" i="1"/>
  <c r="AA173" i="1" s="1"/>
  <c r="AR170" i="1" s="1"/>
  <c r="Z155" i="1"/>
  <c r="AA155" i="1" s="1"/>
  <c r="AR152" i="1" s="1"/>
  <c r="Y193" i="1"/>
  <c r="Z175" i="1"/>
  <c r="AA175" i="1" s="1"/>
  <c r="AR172" i="1" s="1"/>
  <c r="Z156" i="1"/>
  <c r="AA156" i="1" s="1"/>
  <c r="AR153" i="1" s="1"/>
  <c r="Z179" i="1"/>
  <c r="AA179" i="1" s="1"/>
  <c r="AR176" i="1" s="1"/>
  <c r="Y190" i="1"/>
  <c r="Z188" i="1"/>
  <c r="AA188" i="1" s="1"/>
  <c r="AR185" i="1" s="1"/>
  <c r="Z167" i="1"/>
  <c r="AA167" i="1" s="1"/>
  <c r="AR164" i="1" s="1"/>
  <c r="Z159" i="1"/>
  <c r="AA159" i="1" s="1"/>
  <c r="AR156" i="1" s="1"/>
  <c r="Z177" i="1"/>
  <c r="AA177" i="1" s="1"/>
  <c r="AR174" i="1" s="1"/>
  <c r="Z153" i="1"/>
  <c r="AA153" i="1" s="1"/>
  <c r="AR150" i="1" s="1"/>
  <c r="Z149" i="1"/>
  <c r="AA149" i="1" s="1"/>
  <c r="AR146" i="1" s="1"/>
  <c r="Z162" i="1"/>
  <c r="AA162" i="1" s="1"/>
  <c r="AR159" i="1" s="1"/>
  <c r="Y171" i="1"/>
  <c r="Z197" i="1"/>
  <c r="AA197" i="1" s="1"/>
  <c r="AR194" i="1" s="1"/>
  <c r="Z170" i="1"/>
  <c r="AA170" i="1" s="1"/>
  <c r="AR167" i="1" s="1"/>
  <c r="Z163" i="1"/>
  <c r="AA163" i="1" s="1"/>
  <c r="AR160" i="1" s="1"/>
  <c r="Z168" i="1"/>
  <c r="AA168" i="1" s="1"/>
  <c r="AR165" i="1" s="1"/>
  <c r="Z157" i="1"/>
  <c r="AA157" i="1" s="1"/>
  <c r="AR154" i="1" s="1"/>
  <c r="Z151" i="1"/>
  <c r="AA151" i="1" s="1"/>
  <c r="AR148" i="1" s="1"/>
  <c r="Y179" i="1"/>
  <c r="Z194" i="1"/>
  <c r="AA194" i="1" s="1"/>
  <c r="AR191" i="1" s="1"/>
  <c r="Z196" i="1"/>
  <c r="AA196" i="1" s="1"/>
  <c r="AR193" i="1" s="1"/>
  <c r="Z199" i="1"/>
  <c r="AA199" i="1" s="1"/>
  <c r="AR196" i="1" s="1"/>
  <c r="AR197" i="1" s="1"/>
  <c r="Z185" i="1"/>
  <c r="AA185" i="1" s="1"/>
  <c r="AR182" i="1" s="1"/>
  <c r="Z150" i="1"/>
  <c r="AA150" i="1" s="1"/>
  <c r="AR147" i="1" s="1"/>
  <c r="Z174" i="1"/>
  <c r="AA174" i="1" s="1"/>
  <c r="AR171" i="1" s="1"/>
  <c r="Z166" i="1"/>
  <c r="AA166" i="1" s="1"/>
  <c r="AR163" i="1" s="1"/>
  <c r="Z172" i="1"/>
  <c r="AA172" i="1" s="1"/>
  <c r="AR169" i="1" s="1"/>
  <c r="Z165" i="1"/>
  <c r="AA165" i="1" s="1"/>
  <c r="AR162" i="1" s="1"/>
  <c r="Y160" i="1"/>
  <c r="Z171" i="1"/>
  <c r="AA171" i="1" s="1"/>
  <c r="AR168" i="1" s="1"/>
  <c r="Y152" i="1"/>
  <c r="Y186" i="1"/>
  <c r="Z195" i="1"/>
  <c r="AA195" i="1" s="1"/>
  <c r="AR192" i="1" s="1"/>
  <c r="Z152" i="1"/>
  <c r="AA152" i="1" s="1"/>
  <c r="AR149" i="1" s="1"/>
  <c r="Y149" i="1"/>
  <c r="Z198" i="1"/>
  <c r="AA198" i="1" s="1"/>
  <c r="AR195" i="1" s="1"/>
  <c r="Z169" i="1"/>
  <c r="AA169" i="1" s="1"/>
  <c r="AR166" i="1" s="1"/>
  <c r="Y180" i="1"/>
  <c r="Y156" i="1"/>
  <c r="Y158" i="1"/>
  <c r="Z192" i="1"/>
  <c r="AA192" i="1" s="1"/>
  <c r="AR189" i="1" s="1"/>
  <c r="Z186" i="1"/>
  <c r="AA186" i="1" s="1"/>
  <c r="AR183" i="1" s="1"/>
  <c r="Z158" i="1"/>
  <c r="AA158" i="1" s="1"/>
  <c r="AR155" i="1" s="1"/>
  <c r="Z161" i="1"/>
  <c r="AA161" i="1" s="1"/>
  <c r="AR158" i="1" s="1"/>
  <c r="Z178" i="1"/>
  <c r="AA178" i="1" s="1"/>
  <c r="AR175" i="1" s="1"/>
  <c r="Y161" i="1"/>
  <c r="Y173" i="1"/>
  <c r="Y182" i="1"/>
  <c r="Y165" i="1"/>
  <c r="Z189" i="1"/>
  <c r="AA189" i="1" s="1"/>
  <c r="AR186" i="1" s="1"/>
  <c r="Z190" i="1"/>
  <c r="AA190" i="1" s="1"/>
  <c r="AR187" i="1" s="1"/>
  <c r="Z193" i="1"/>
  <c r="AA193" i="1" s="1"/>
  <c r="AR190" i="1" s="1"/>
  <c r="Z187" i="1"/>
  <c r="AA187" i="1" s="1"/>
  <c r="AR184" i="1" s="1"/>
  <c r="Z182" i="1"/>
  <c r="AA182" i="1" s="1"/>
  <c r="AR179" i="1" s="1"/>
  <c r="Z160" i="1"/>
  <c r="AA160" i="1" s="1"/>
  <c r="AR157" i="1" s="1"/>
  <c r="Z183" i="1"/>
  <c r="AA183" i="1" s="1"/>
  <c r="AR180" i="1" s="1"/>
  <c r="Z181" i="1"/>
  <c r="AA181" i="1" s="1"/>
  <c r="AR178" i="1" s="1"/>
  <c r="Y183" i="1"/>
  <c r="Y153" i="1"/>
</calcChain>
</file>

<file path=xl/comments1.xml><?xml version="1.0" encoding="utf-8"?>
<comments xmlns="http://schemas.openxmlformats.org/spreadsheetml/2006/main">
  <authors>
    <author>Alexander.Schollin</author>
  </authors>
  <commentList>
    <comment ref="D13" authorId="0" shapeId="0">
      <text>
        <r>
          <rPr>
            <sz val="9"/>
            <color indexed="81"/>
            <rFont val="Tahoma"/>
            <family val="2"/>
          </rPr>
          <t xml:space="preserve">Vertical applications:
If your application requires the unit to operate in vertical position you need to enter both mass (kg) and the max force Fx (N). 
Horizontal applications:
If the mass is externally guided when using the unit in horizontal orientation you will need to put in the mass (kg) but concider the friction coefficient (Kfric) for the external guides to calculate the Fx (N) as mass * Kfric.
</t>
        </r>
      </text>
    </comment>
    <comment ref="H14" authorId="0" shapeId="0">
      <text>
        <r>
          <rPr>
            <sz val="9"/>
            <color indexed="81"/>
            <rFont val="Tahoma"/>
            <family val="2"/>
          </rPr>
          <t xml:space="preserve">
</t>
        </r>
      </text>
    </comment>
    <comment ref="B15" authorId="0" shapeId="0">
      <text/>
    </comment>
    <comment ref="B31" authorId="0" shapeId="0">
      <text>
        <r>
          <rPr>
            <sz val="9"/>
            <color indexed="81"/>
            <rFont val="Tahoma"/>
            <family val="2"/>
          </rPr>
          <t xml:space="preserve">
</t>
        </r>
      </text>
    </comment>
  </commentList>
</comments>
</file>

<file path=xl/sharedStrings.xml><?xml version="1.0" encoding="utf-8"?>
<sst xmlns="http://schemas.openxmlformats.org/spreadsheetml/2006/main" count="4525" uniqueCount="2052">
  <si>
    <t>Pitch</t>
  </si>
  <si>
    <t>Max stroke</t>
  </si>
  <si>
    <t>Max rpm</t>
  </si>
  <si>
    <t>Max force Fx</t>
  </si>
  <si>
    <t>Max force Fy</t>
  </si>
  <si>
    <t>mm</t>
  </si>
  <si>
    <t>N</t>
  </si>
  <si>
    <t>Nm</t>
  </si>
  <si>
    <r>
      <t>C</t>
    </r>
    <r>
      <rPr>
        <vertAlign val="subscript"/>
        <sz val="11"/>
        <color indexed="8"/>
        <rFont val="Calibri"/>
        <family val="2"/>
      </rPr>
      <t xml:space="preserve">am  </t>
    </r>
    <r>
      <rPr>
        <sz val="11"/>
        <color theme="1"/>
        <rFont val="Calibri"/>
        <family val="2"/>
        <scheme val="minor"/>
      </rPr>
      <t>nut</t>
    </r>
  </si>
  <si>
    <t>C ballbearing</t>
  </si>
  <si>
    <t>Stroke</t>
  </si>
  <si>
    <t>Average speed</t>
  </si>
  <si>
    <t>mm/s</t>
  </si>
  <si>
    <t>Top speed</t>
  </si>
  <si>
    <t>Acceleration</t>
  </si>
  <si>
    <t>m/s²</t>
  </si>
  <si>
    <t>Calc speed</t>
  </si>
  <si>
    <t>rpm</t>
  </si>
  <si>
    <t>OK</t>
  </si>
  <si>
    <t>PC25…B03</t>
  </si>
  <si>
    <t>PC25…B10</t>
  </si>
  <si>
    <t>PC32…B04</t>
  </si>
  <si>
    <t>PC32…B10</t>
  </si>
  <si>
    <t>PC40…B05</t>
  </si>
  <si>
    <t>PC40…B10</t>
  </si>
  <si>
    <t>PC40…B20</t>
  </si>
  <si>
    <r>
      <t>f</t>
    </r>
    <r>
      <rPr>
        <vertAlign val="subscript"/>
        <sz val="11"/>
        <color indexed="8"/>
        <rFont val="Calibri"/>
        <family val="2"/>
      </rPr>
      <t>m</t>
    </r>
  </si>
  <si>
    <t>Fx</t>
  </si>
  <si>
    <t>Fy</t>
  </si>
  <si>
    <t>idle torque</t>
  </si>
  <si>
    <t>with acc</t>
  </si>
  <si>
    <t>Coupl</t>
  </si>
  <si>
    <t>h</t>
  </si>
  <si>
    <t>Life ball bearing</t>
  </si>
  <si>
    <t>Life ball nut</t>
  </si>
  <si>
    <t>Critical speed</t>
  </si>
  <si>
    <t>Buckling Max S screw</t>
  </si>
  <si>
    <t>Buckling Max S tube</t>
  </si>
  <si>
    <t>Summa</t>
  </si>
  <si>
    <t>Lifetime</t>
  </si>
  <si>
    <t>Acc</t>
  </si>
  <si>
    <t>Years</t>
  </si>
  <si>
    <t>inch</t>
  </si>
  <si>
    <t>lbf</t>
  </si>
  <si>
    <t>inch /s</t>
  </si>
  <si>
    <t>inch/s²</t>
  </si>
  <si>
    <t>Avr. Speed</t>
  </si>
  <si>
    <t>Metric</t>
  </si>
  <si>
    <t>input</t>
  </si>
  <si>
    <t>output</t>
  </si>
  <si>
    <t>torque</t>
  </si>
  <si>
    <t>speed</t>
  </si>
  <si>
    <t>Duty cycle</t>
  </si>
  <si>
    <t>Typical application for lifting/lowering load  or constant force</t>
  </si>
  <si>
    <t>Typical application for feeding. High force forward, low return</t>
  </si>
  <si>
    <t>Typical application for pressing/cutting. High force at just one part of stroke</t>
  </si>
  <si>
    <t>Typical application for compression spring. Increasing force.</t>
  </si>
  <si>
    <t>Speed</t>
  </si>
  <si>
    <t>Customized profile</t>
  </si>
  <si>
    <r>
      <t>m/s</t>
    </r>
    <r>
      <rPr>
        <vertAlign val="superscript"/>
        <sz val="10"/>
        <rFont val="Arial"/>
        <family val="2"/>
      </rPr>
      <t>2</t>
    </r>
  </si>
  <si>
    <t>Deceleration</t>
  </si>
  <si>
    <t>Distance (stroke)</t>
  </si>
  <si>
    <t>m/s</t>
  </si>
  <si>
    <t>Distance for acc.</t>
  </si>
  <si>
    <t>Time for acc.</t>
  </si>
  <si>
    <t>s</t>
  </si>
  <si>
    <t>Distance for decel.</t>
  </si>
  <si>
    <t>Time for decel.</t>
  </si>
  <si>
    <t>Dist. at const speed</t>
  </si>
  <si>
    <t>Time at const speed</t>
  </si>
  <si>
    <t>Cycle time</t>
  </si>
  <si>
    <t>inch/s</t>
  </si>
  <si>
    <t>Direct</t>
  </si>
  <si>
    <t>Worm gear</t>
  </si>
  <si>
    <t>Planetary gear</t>
  </si>
  <si>
    <t>Bevel gear</t>
  </si>
  <si>
    <t>Belt gear</t>
  </si>
  <si>
    <t>Ratio</t>
  </si>
  <si>
    <t>Efficiency</t>
  </si>
  <si>
    <t>Inertia</t>
  </si>
  <si>
    <t>kg cm²</t>
  </si>
  <si>
    <t>AKM11B</t>
  </si>
  <si>
    <t>AKM12C</t>
  </si>
  <si>
    <t>AKM13C</t>
  </si>
  <si>
    <t>AKM21C</t>
  </si>
  <si>
    <t>AKM22E</t>
  </si>
  <si>
    <t>AKM23E</t>
  </si>
  <si>
    <t>AKM24E</t>
  </si>
  <si>
    <t>AKM31E</t>
  </si>
  <si>
    <t>AKM32E</t>
  </si>
  <si>
    <t>AKM33H</t>
  </si>
  <si>
    <t>AKM41H</t>
  </si>
  <si>
    <t>AKM42J</t>
  </si>
  <si>
    <t>AKM43L</t>
  </si>
  <si>
    <t>AKM44J</t>
  </si>
  <si>
    <t>95% - 100 %</t>
  </si>
  <si>
    <t>65% - 80%</t>
  </si>
  <si>
    <t>85% - 95%</t>
  </si>
  <si>
    <t>80% - 90%</t>
  </si>
  <si>
    <t>80% - 95%</t>
  </si>
  <si>
    <t>Nominal torque</t>
  </si>
  <si>
    <t>Peak torque</t>
  </si>
  <si>
    <t>Rated torque</t>
  </si>
  <si>
    <t>Max speed</t>
  </si>
  <si>
    <t>Mass</t>
  </si>
  <si>
    <t>kg</t>
  </si>
  <si>
    <t>J
screw</t>
  </si>
  <si>
    <t>J
Load</t>
  </si>
  <si>
    <t>Drive torque constant</t>
  </si>
  <si>
    <t>Drive torque acc</t>
  </si>
  <si>
    <t>Motor torque</t>
  </si>
  <si>
    <t>Motor</t>
  </si>
  <si>
    <t>constant speed</t>
  </si>
  <si>
    <t>motor torque</t>
  </si>
  <si>
    <t>acceleration</t>
  </si>
  <si>
    <t>STEPPER</t>
  </si>
  <si>
    <t>DC</t>
  </si>
  <si>
    <t>AC</t>
  </si>
  <si>
    <t>IEC56-2 0,12 kW</t>
  </si>
  <si>
    <t>IEC56-4 0,09 kW</t>
  </si>
  <si>
    <t>IEC63-2 0,25 kW</t>
  </si>
  <si>
    <t>IEC63-4 0,18 kW</t>
  </si>
  <si>
    <t>IEC71-2 0,55 kW</t>
  </si>
  <si>
    <t>IEC71-4 0,37 kW</t>
  </si>
  <si>
    <t>Name</t>
  </si>
  <si>
    <t>Inertia balance</t>
  </si>
  <si>
    <t>lb</t>
  </si>
  <si>
    <t>C11</t>
  </si>
  <si>
    <t>C13</t>
  </si>
  <si>
    <t>C14</t>
  </si>
  <si>
    <t>C12</t>
  </si>
  <si>
    <t>G14</t>
  </si>
  <si>
    <t>C15</t>
  </si>
  <si>
    <t>C16</t>
  </si>
  <si>
    <t>Notes:</t>
  </si>
  <si>
    <t>Max load torque My</t>
  </si>
  <si>
    <t>Drive torque from load</t>
  </si>
  <si>
    <t>Max torque coupling</t>
  </si>
  <si>
    <t>Max drive torque shaft</t>
  </si>
  <si>
    <t>Catalogue values</t>
  </si>
  <si>
    <t>TC16 NIDEC 404 722</t>
  </si>
  <si>
    <t>Dunker GR 63x55 24V</t>
  </si>
  <si>
    <t>rated Nm</t>
  </si>
  <si>
    <t>Max Hz x 50</t>
  </si>
  <si>
    <t>x 50 = 80 Hz</t>
  </si>
  <si>
    <t>Min Hz x 50</t>
  </si>
  <si>
    <t>x 50 Hz = 15 Hz</t>
  </si>
  <si>
    <t>SERVO AKM</t>
  </si>
  <si>
    <t>IEC71-2 Brake 0,55 kW</t>
  </si>
  <si>
    <t>IEC63-2 Brake 0,25 kW</t>
  </si>
  <si>
    <t>IEC63-4 Brake 0,18 kW</t>
  </si>
  <si>
    <t>IEC71-4 Brake  0,37 kW</t>
  </si>
  <si>
    <t>PC-version</t>
  </si>
  <si>
    <t>PC Version</t>
  </si>
  <si>
    <t>Type</t>
  </si>
  <si>
    <t>Efficency</t>
  </si>
  <si>
    <t>PA</t>
  </si>
  <si>
    <t>Idle torque</t>
  </si>
  <si>
    <t>Idle Torque</t>
  </si>
  <si>
    <t>Cylinder Mounting</t>
  </si>
  <si>
    <t xml:space="preserve">Rod End </t>
  </si>
  <si>
    <t>PA,LX</t>
  </si>
  <si>
    <t>PA,LX,SX</t>
  </si>
  <si>
    <t>Cylinder mounting</t>
  </si>
  <si>
    <t>UPDATED</t>
  </si>
  <si>
    <t>AKM Servo</t>
  </si>
  <si>
    <t>Brushed DC motor</t>
  </si>
  <si>
    <t>Break Option</t>
  </si>
  <si>
    <t>Feedback Option</t>
  </si>
  <si>
    <t>LX-In Line</t>
  </si>
  <si>
    <t>SX-No RediMount</t>
  </si>
  <si>
    <t>X-Without cylinder mounting</t>
  </si>
  <si>
    <t>M-Trunnion (movable)</t>
  </si>
  <si>
    <t>F-Feet Kit</t>
  </si>
  <si>
    <t>R-Rear Trunnion (fixed onto belt gear)</t>
  </si>
  <si>
    <t>C-Rear Clevis</t>
  </si>
  <si>
    <t>P-Front mounting plate</t>
  </si>
  <si>
    <t>T-Front trunnion (fixed on to housing)</t>
  </si>
  <si>
    <t>M-Male thread (standard)</t>
  </si>
  <si>
    <t>F-Female thread</t>
  </si>
  <si>
    <t>J-Spherical joint</t>
  </si>
  <si>
    <t>C-Front Clevis</t>
  </si>
  <si>
    <t>Current Motor</t>
  </si>
  <si>
    <t>Motor ID</t>
  </si>
  <si>
    <t>Motor part number</t>
  </si>
  <si>
    <t>PC</t>
  </si>
  <si>
    <t>B03-</t>
  </si>
  <si>
    <t>B10-</t>
  </si>
  <si>
    <t>B04-</t>
  </si>
  <si>
    <t>B05-</t>
  </si>
  <si>
    <t>B20-</t>
  </si>
  <si>
    <t>Ordering key</t>
  </si>
  <si>
    <t>Size</t>
  </si>
  <si>
    <t>Tansmission</t>
  </si>
  <si>
    <t>Redimount ID</t>
  </si>
  <si>
    <t>Lead</t>
  </si>
  <si>
    <t>Rod End</t>
  </si>
  <si>
    <t>Envrionmental</t>
  </si>
  <si>
    <t>023</t>
  </si>
  <si>
    <t>Fits</t>
  </si>
  <si>
    <t>32LX,PC40</t>
  </si>
  <si>
    <t>367</t>
  </si>
  <si>
    <t>AKM1xx-Axxxx-00</t>
  </si>
  <si>
    <t>AKM2xx-Axxxx-00</t>
  </si>
  <si>
    <t>AKM3xx-Axxxx-00</t>
  </si>
  <si>
    <t>004</t>
  </si>
  <si>
    <t>001</t>
  </si>
  <si>
    <t>PC32,PC40</t>
  </si>
  <si>
    <t>INFO</t>
  </si>
  <si>
    <t>Motor nbr</t>
  </si>
  <si>
    <t>Model in Database</t>
  </si>
  <si>
    <t>ALL</t>
  </si>
  <si>
    <t>AKM4xx-Hxxxx-00</t>
  </si>
  <si>
    <t>PC25LX</t>
  </si>
  <si>
    <t>PC25PA</t>
  </si>
  <si>
    <t>PC32LX</t>
  </si>
  <si>
    <t>PC32PA</t>
  </si>
  <si>
    <t>PC40LX</t>
  </si>
  <si>
    <t>PC40PA</t>
  </si>
  <si>
    <t>Sent to input</t>
  </si>
  <si>
    <t>PMX Stepper</t>
  </si>
  <si>
    <t>Winding</t>
  </si>
  <si>
    <t>Yes</t>
  </si>
  <si>
    <t>Motor Part number</t>
  </si>
  <si>
    <t>-ANC</t>
  </si>
  <si>
    <t>Full Part numbers PC</t>
  </si>
  <si>
    <t>-</t>
  </si>
  <si>
    <t>-HNC</t>
  </si>
  <si>
    <t>Stepper calculation</t>
  </si>
  <si>
    <t>Har ändrat villkordstyrd formatering i cellerna A74-A80</t>
  </si>
  <si>
    <t>Har ändrat fomel för PC P/N från att hämta cell&amp;cell…. Till Sammanfoga(cell;cell…)</t>
  </si>
  <si>
    <t>PMX stepper</t>
  </si>
  <si>
    <t>Passar på</t>
  </si>
  <si>
    <t>Cylinder mounting compatibility</t>
  </si>
  <si>
    <t xml:space="preserve">RediMount ID </t>
  </si>
  <si>
    <t>DC motor</t>
  </si>
  <si>
    <t>INFO ONLY</t>
  </si>
  <si>
    <t>Har ändrat formler för beräkning av D74:80 samt E74:80 i "Data" har istället låtit Ratio, Efficiency etc tas från "Data"</t>
  </si>
  <si>
    <t>Change log Alexander</t>
  </si>
  <si>
    <t>Motor Series</t>
  </si>
  <si>
    <t>Rotor Stack Lenght</t>
  </si>
  <si>
    <t>Step Angle</t>
  </si>
  <si>
    <t>Connection</t>
  </si>
  <si>
    <t>Front shaft</t>
  </si>
  <si>
    <t>Rear Shaft</t>
  </si>
  <si>
    <t>Sealing option</t>
  </si>
  <si>
    <t>PMX</t>
  </si>
  <si>
    <t>-J</t>
  </si>
  <si>
    <t>-A</t>
  </si>
  <si>
    <t>-D</t>
  </si>
  <si>
    <t>PMX Options</t>
  </si>
  <si>
    <t>No Shaft Seal</t>
  </si>
  <si>
    <t>No shaft</t>
  </si>
  <si>
    <t>Shaft seal</t>
  </si>
  <si>
    <t>Current Choice</t>
  </si>
  <si>
    <t>(max 7 for "OK")</t>
  </si>
  <si>
    <t>System Inertia</t>
  </si>
  <si>
    <t>Life time</t>
  </si>
  <si>
    <t>Hours</t>
  </si>
  <si>
    <t>Performance</t>
  </si>
  <si>
    <t>PC unit Data</t>
  </si>
  <si>
    <t>Required Motor Data</t>
  </si>
  <si>
    <t>Customer Supplied Gear option</t>
  </si>
  <si>
    <t>Micron Gear Option</t>
  </si>
  <si>
    <t>NT17</t>
  </si>
  <si>
    <t>Torque [Nm] at specified rpm for 20 000 H life time</t>
  </si>
  <si>
    <t>3:1</t>
  </si>
  <si>
    <t>5:1</t>
  </si>
  <si>
    <t>10:1</t>
  </si>
  <si>
    <t>15:1</t>
  </si>
  <si>
    <t>25:1</t>
  </si>
  <si>
    <t>30:1</t>
  </si>
  <si>
    <t>50:1</t>
  </si>
  <si>
    <t>100:1</t>
  </si>
  <si>
    <t>P/N</t>
  </si>
  <si>
    <t>NT17-003</t>
  </si>
  <si>
    <t>NT17-100</t>
  </si>
  <si>
    <t>NT60</t>
  </si>
  <si>
    <t>4:1</t>
  </si>
  <si>
    <t>7:1</t>
  </si>
  <si>
    <t>20:1</t>
  </si>
  <si>
    <t>40:1</t>
  </si>
  <si>
    <t>70:1</t>
  </si>
  <si>
    <t>NT60-003</t>
  </si>
  <si>
    <t>NT60-100</t>
  </si>
  <si>
    <t>Gear</t>
  </si>
  <si>
    <t>Gear active?</t>
  </si>
  <si>
    <t>Additional Data</t>
  </si>
  <si>
    <t>Micron Gear</t>
  </si>
  <si>
    <t>RediMount ID</t>
  </si>
  <si>
    <t>-B</t>
  </si>
  <si>
    <t>Micron Gear Part Numbers</t>
  </si>
  <si>
    <t>AKM1</t>
  </si>
  <si>
    <t>AKM2</t>
  </si>
  <si>
    <t>RM060-6</t>
  </si>
  <si>
    <t>AKM3</t>
  </si>
  <si>
    <t>RM060-19</t>
  </si>
  <si>
    <t>AKM4</t>
  </si>
  <si>
    <t>RM060-25</t>
  </si>
  <si>
    <t>NT23</t>
  </si>
  <si>
    <t>NT23-003</t>
  </si>
  <si>
    <t>NT23-003-0-RM060-6</t>
  </si>
  <si>
    <t>NT23-003-0-RM060-19</t>
  </si>
  <si>
    <t>NT23-003-0-RM060-25</t>
  </si>
  <si>
    <t>Part number Sen to input</t>
  </si>
  <si>
    <t>Current motor chosen</t>
  </si>
  <si>
    <t>Building Part number</t>
  </si>
  <si>
    <t>NT23-005</t>
  </si>
  <si>
    <t>NT23-010</t>
  </si>
  <si>
    <t>NT23-015</t>
  </si>
  <si>
    <t>NT23-025</t>
  </si>
  <si>
    <t>RediMount ID Gear</t>
  </si>
  <si>
    <t>RediMount ID PC Unit</t>
  </si>
  <si>
    <t>RediMount ID PC unit</t>
  </si>
  <si>
    <t>Used in drop-down</t>
  </si>
  <si>
    <t>Used in calculations</t>
  </si>
  <si>
    <t xml:space="preserve">Gear type and ratio </t>
  </si>
  <si>
    <t>Choices made</t>
  </si>
  <si>
    <t>Dynamic text depending on motor, gear and ratio</t>
  </si>
  <si>
    <t>$AE$53+$S$56+U7/$AE$52/$R$56/$AE$51</t>
  </si>
  <si>
    <t>(Idle Torque_gear+Idle Torque unit+Drive torque from load)/Efficiency_Gear/Efficiency_unit/Ratio_Gear</t>
  </si>
  <si>
    <t>V7/$AE$52/$R$56/Data!$AE$51+$AE$53+$S$56+($H$68+$AE$54+(Data!AJ7+Data!AI7)/Data!$AE$51^2)*3,14/Data!$AE$51*Data!M7/Data!$C$43/10000/30</t>
  </si>
  <si>
    <t>V7/Efficiency gear/R56/Ratio Gear+IdleTorque Gear+S56+(H68+Inertia Gear+(AJ7+AI7)/Ratio gear*exp2)3,14/Ratio Gear*M7/c43/10000/30</t>
  </si>
  <si>
    <t>($H$68+AE54+(Data!AJ7+Data!AI7)/Data!$AE$51^2)/$H$68</t>
  </si>
  <si>
    <t>Kolumn AK:</t>
  </si>
  <si>
    <t>Kolumn AL:</t>
  </si>
  <si>
    <t>Kolumn AM:</t>
  </si>
  <si>
    <t>Kolumn AN:</t>
  </si>
  <si>
    <t>AI7+AJ7+$AE$54</t>
  </si>
  <si>
    <t>AI7+AJ7+Inertia Gear</t>
  </si>
  <si>
    <t>H68+inertia Gear+(AJ7+AI7)/Ratio Gear*exp2/H68</t>
  </si>
  <si>
    <t>Har ändrat formler för beräkning i kolumner AK, AL, AM och AN samt ändrat referenserna i input-bladet för att hämta uppdaterade formler i nämnda kolumner AK, AL osv.</t>
  </si>
  <si>
    <t>NEW FORMULAS INCLUDING MICRON GEARS</t>
  </si>
  <si>
    <t>Har ändrat i formel för M71 där OM(J71=4;1,6;1) ändrades till OM(J71=3;1,6;1) eftersom den förra gav felaktigt OK för lösningen</t>
  </si>
  <si>
    <t>Har ändrat i formel för K84 enligt M71 ovan, samma resonemang.</t>
  </si>
  <si>
    <t>Kolla om dessa stämmer jämför med quote assistance</t>
  </si>
  <si>
    <t>Force active during stop?</t>
  </si>
  <si>
    <t>No</t>
  </si>
  <si>
    <t>Motor Torque</t>
  </si>
  <si>
    <t>Input Voltage</t>
  </si>
  <si>
    <t>VAC</t>
  </si>
  <si>
    <t>AKM11C</t>
  </si>
  <si>
    <t>AKM12E</t>
  </si>
  <si>
    <t>AKM13D</t>
  </si>
  <si>
    <t>AKM21E</t>
  </si>
  <si>
    <t>AKM22G</t>
  </si>
  <si>
    <t>AKM23F</t>
  </si>
  <si>
    <t>AKM24F</t>
  </si>
  <si>
    <t>AKM31H</t>
  </si>
  <si>
    <t>AKM32H</t>
  </si>
  <si>
    <t>AKM44H</t>
  </si>
  <si>
    <t>AKM22C</t>
  </si>
  <si>
    <t>AKM23D</t>
  </si>
  <si>
    <t>AKM24D</t>
  </si>
  <si>
    <t>AKM31C</t>
  </si>
  <si>
    <t>AKM33E</t>
  </si>
  <si>
    <t>AKM41E</t>
  </si>
  <si>
    <t>AKM42G</t>
  </si>
  <si>
    <t>AKM43H</t>
  </si>
  <si>
    <t>Har ändrat i formel för system inertia så att PA-inertia är medtaget i celler AN21:AN27</t>
  </si>
  <si>
    <t>Torque</t>
  </si>
  <si>
    <t>Time</t>
  </si>
  <si>
    <t>Constant</t>
  </si>
  <si>
    <t>Decceleration</t>
  </si>
  <si>
    <t>Pause</t>
  </si>
  <si>
    <t>Trms</t>
  </si>
  <si>
    <t>Pause time</t>
  </si>
  <si>
    <t>Chosen Input Voltage</t>
  </si>
  <si>
    <t>Current Choice --&gt;</t>
  </si>
  <si>
    <t>Fits PC</t>
  </si>
  <si>
    <t>PC25</t>
  </si>
  <si>
    <t>LX</t>
  </si>
  <si>
    <t>PC32</t>
  </si>
  <si>
    <t>PC40</t>
  </si>
  <si>
    <t>1= fits; 0= No fit</t>
  </si>
  <si>
    <t>Voltage</t>
  </si>
  <si>
    <t>PMX-motorerna har rensats upp</t>
  </si>
  <si>
    <t>RM60-130</t>
  </si>
  <si>
    <t>NT23-003-0-RM60-130</t>
  </si>
  <si>
    <t>Fall1</t>
  </si>
  <si>
    <t>Fall2</t>
  </si>
  <si>
    <t>Fall3</t>
  </si>
  <si>
    <t>Fall4</t>
  </si>
  <si>
    <t>Fall5</t>
  </si>
  <si>
    <t>Fall6</t>
  </si>
  <si>
    <t>LX+Micron</t>
  </si>
  <si>
    <t>PA+Micron</t>
  </si>
  <si>
    <t>PA+Cust</t>
  </si>
  <si>
    <t>LX+Cust</t>
  </si>
  <si>
    <t xml:space="preserve">Step 1: </t>
  </si>
  <si>
    <t>About Your Application</t>
  </si>
  <si>
    <t xml:space="preserve"> Motor Selection</t>
  </si>
  <si>
    <t>Inertia Belt gear (PA)</t>
  </si>
  <si>
    <r>
      <t>Data performance har ändrats OM(OCH(G73&lt;OM(Data!J69=2;Data!L157;Data!$F$68);F73&gt;Data!M72*Data!G68;H73&lt;Data!$E$68;F73&lt;=Data!$G$68*Data!$M$69;Data!</t>
    </r>
    <r>
      <rPr>
        <sz val="11"/>
        <color rgb="FFFF0000"/>
        <rFont val="Calibri"/>
        <family val="2"/>
        <scheme val="minor"/>
      </rPr>
      <t>AM27</t>
    </r>
    <r>
      <rPr>
        <sz val="11"/>
        <color theme="1"/>
        <rFont val="Calibri"/>
        <family val="2"/>
        <scheme val="minor"/>
      </rPr>
      <t xml:space="preserve">&lt;7;I73&lt;=Data!$D$68);"OK";"Not OK") var tidigare </t>
    </r>
    <r>
      <rPr>
        <sz val="11"/>
        <color rgb="FFFF0000"/>
        <rFont val="Calibri"/>
        <family val="2"/>
        <scheme val="minor"/>
      </rPr>
      <t xml:space="preserve">AM11 </t>
    </r>
  </si>
  <si>
    <t>Type of Gear</t>
  </si>
  <si>
    <t>Nbr</t>
  </si>
  <si>
    <t>Customer Supplied</t>
  </si>
  <si>
    <t>TEST av system inertia</t>
  </si>
  <si>
    <t>No Gear</t>
  </si>
  <si>
    <t>Inertia (kg cm²)</t>
  </si>
  <si>
    <r>
      <t>Motor Performance OK eller NOT OK har ändrats OM(OCH(G67&lt;OM(Data!J69=2;Data!L151;Data!$F$68);F67&gt;Data!M72*Data!G68;H67&lt;Data!$E$68;F67&lt;=Data!$G$68*Data!$M$69;Data!AM21&lt;7;I67&lt;=Data</t>
    </r>
    <r>
      <rPr>
        <sz val="11"/>
        <color rgb="FFFF0000"/>
        <rFont val="Calibri"/>
        <family val="2"/>
        <scheme val="minor"/>
      </rPr>
      <t>!$F$68</t>
    </r>
    <r>
      <rPr>
        <sz val="11"/>
        <color theme="1"/>
        <rFont val="Calibri"/>
        <family val="2"/>
        <scheme val="minor"/>
      </rPr>
      <t>);"OK";"Not OK") var tidigare G68, G69 osv.</t>
    </r>
  </si>
  <si>
    <t>1. Kollmorgen AKM Servo</t>
  </si>
  <si>
    <t>PA-Parallel</t>
  </si>
  <si>
    <t>Type of motor *</t>
  </si>
  <si>
    <t>PC-version *</t>
  </si>
  <si>
    <t>* = Hover over for more information</t>
  </si>
  <si>
    <t>Cont. torque (Stall) [Nm]</t>
  </si>
  <si>
    <t>Peak torque [Nm]</t>
  </si>
  <si>
    <t>Rated torque [Nm]</t>
  </si>
  <si>
    <t>Max speed [rpm]</t>
  </si>
  <si>
    <t>Inertia [kg cm²]</t>
  </si>
  <si>
    <t>Time for one stroke [s]</t>
  </si>
  <si>
    <t xml:space="preserve">Metric </t>
  </si>
  <si>
    <t xml:space="preserve">Imperial </t>
  </si>
  <si>
    <t>Required Input</t>
  </si>
  <si>
    <t>Output values</t>
  </si>
  <si>
    <t>Input required by drop down</t>
  </si>
  <si>
    <t>Gear Selection (Optional)</t>
  </si>
  <si>
    <t xml:space="preserve">Years </t>
  </si>
  <si>
    <t>M. of Cycles</t>
  </si>
  <si>
    <t>Drop down menu</t>
  </si>
  <si>
    <t>Millions of cycles</t>
  </si>
  <si>
    <t>Motor size</t>
  </si>
  <si>
    <t>Motor option 2</t>
  </si>
  <si>
    <t>Motor option 1</t>
  </si>
  <si>
    <t>Sum Errors</t>
  </si>
  <si>
    <t>Current choice cylinder mounting</t>
  </si>
  <si>
    <t>AKM3 passar inte</t>
  </si>
  <si>
    <t>PC25 LX utan växel</t>
  </si>
  <si>
    <t>PC25 PA</t>
  </si>
  <si>
    <t>AKM4 passar inte</t>
  </si>
  <si>
    <t xml:space="preserve">PC32 PA </t>
  </si>
  <si>
    <t>SX</t>
  </si>
  <si>
    <t>Hela formeln</t>
  </si>
  <si>
    <t>Current motor</t>
  </si>
  <si>
    <t>LX utan växel</t>
  </si>
  <si>
    <t xml:space="preserve">Kollar motorstorlek mot </t>
  </si>
  <si>
    <t>Micron+cust.Motor</t>
  </si>
  <si>
    <t>Cust.Mot or gear</t>
  </si>
  <si>
    <t xml:space="preserve">PA </t>
  </si>
  <si>
    <t>120;240 Volt</t>
  </si>
  <si>
    <t>400 Volt</t>
  </si>
  <si>
    <t>Current iput voltage</t>
  </si>
  <si>
    <t>Current PC-type</t>
  </si>
  <si>
    <t>Current gear</t>
  </si>
  <si>
    <t>Output Redimount</t>
  </si>
  <si>
    <t>Ouput PN</t>
  </si>
  <si>
    <t>Unit without redimount</t>
  </si>
  <si>
    <t>XXX</t>
  </si>
  <si>
    <t>1=Villkor gäller</t>
  </si>
  <si>
    <t>0= Villkor gäller inte</t>
  </si>
  <si>
    <t>Try with a smaller motor</t>
  </si>
  <si>
    <t>Check motor and/or gear dimensions in RediMount Tool</t>
  </si>
  <si>
    <t>Sum errors</t>
  </si>
  <si>
    <t>Om AK105=0</t>
  </si>
  <si>
    <t>Output PN</t>
  </si>
  <si>
    <t>Errors motor size</t>
  </si>
  <si>
    <t>Output redimount ID</t>
  </si>
  <si>
    <t>Unit</t>
  </si>
  <si>
    <t>No physical match between motor and PC-unit</t>
  </si>
  <si>
    <t>Har lagt in kontroll som finns i data AF7-AF13; Om fel finns så blankas alla fält ut.</t>
  </si>
  <si>
    <t>Har ändrat i formler för RediMount ID i datafilen, har infört en koll vid sidan som går igenom samtliga fall enligt tabell AG75:AL101</t>
  </si>
  <si>
    <t>(AI7+AJ7)/$AE$51^2+$AE$54</t>
  </si>
  <si>
    <t>STEP 1</t>
  </si>
  <si>
    <t>STEP 2</t>
  </si>
  <si>
    <t>MOTOR OPTIONS</t>
  </si>
  <si>
    <t>SENT TO INPUT AS OUTPUT IN TABLE AT BOTTOM</t>
  </si>
  <si>
    <t>Error check motor choices</t>
  </si>
  <si>
    <t>NOT CURRENTLY USED</t>
  </si>
  <si>
    <t>Input required by entering value</t>
  </si>
  <si>
    <t>AKM choice</t>
  </si>
  <si>
    <t>RÄTTA FORMLER NEDAN, FÅNGAR INTE SX</t>
  </si>
  <si>
    <t>Har ändrat i formeln för systeminertia där ratio^2 är infört jämför med gammal selektor.</t>
  </si>
  <si>
    <t>Har ändrat så att när inte hastigheten uppnås i inch/s visar rätt tal.</t>
  </si>
  <si>
    <t>Har infört villkorsstyrning på tabellen över möjliga lösningar inte visar lösningar då duty cycle är över 100%</t>
  </si>
  <si>
    <t>Drive Torque constant</t>
  </si>
  <si>
    <t>System inertia</t>
  </si>
  <si>
    <t>PMX2310-J10, 2.5A</t>
  </si>
  <si>
    <t>PMX2320-J10, 2.5A</t>
  </si>
  <si>
    <t>PMX2330-J10, 2.4A</t>
  </si>
  <si>
    <t>PMX2340-A10, 3.8A</t>
  </si>
  <si>
    <t>PMX3410-A10, 3.6A</t>
  </si>
  <si>
    <t>PMX3420-A10, 3.2A</t>
  </si>
  <si>
    <t>PMX3430-D10, 4.8A</t>
  </si>
  <si>
    <t>PMX3440-D10, 4.4A</t>
  </si>
  <si>
    <t>OM(J69=1;OM(OMFEL(HITTA(VÄNSTER(Input!K32;6);Data!C69);0)&gt;0;0;1);0)</t>
  </si>
  <si>
    <t>** = Click to open RediMount ID tool; This tool is used to check motor and gear compatibility to PC-unit</t>
  </si>
  <si>
    <t>Date</t>
  </si>
  <si>
    <t>Customer</t>
  </si>
  <si>
    <t>Project</t>
  </si>
  <si>
    <t>Reference</t>
  </si>
  <si>
    <t>Motortype</t>
  </si>
  <si>
    <t>Peak Stall Torque
[Nm]</t>
  </si>
  <si>
    <t>Peak Current 
[A]</t>
  </si>
  <si>
    <t>Cont Stall 
Torque [Nm]</t>
  </si>
  <si>
    <t>Cont. Stall 
Current [A]</t>
  </si>
  <si>
    <t>75VDC</t>
  </si>
  <si>
    <t>160VDC</t>
  </si>
  <si>
    <t>320VDC</t>
  </si>
  <si>
    <t>560VDC</t>
  </si>
  <si>
    <t>640VDC</t>
  </si>
  <si>
    <t>max Speed
[1/min]</t>
  </si>
  <si>
    <t>Inertia
[kgcm2]</t>
  </si>
  <si>
    <t>R 
[Ohm]</t>
  </si>
  <si>
    <t>L
[mH]</t>
  </si>
  <si>
    <t>Ke
[mV/prm]</t>
  </si>
  <si>
    <t>Poles</t>
  </si>
  <si>
    <t>Ist ein SFD Feedback 
Möglich?</t>
  </si>
  <si>
    <t>Cont Rate 
Torque [Nm]</t>
  </si>
  <si>
    <t>Rated Speed
[1/min]</t>
  </si>
  <si>
    <t>6SM27M-4000</t>
  </si>
  <si>
    <t>Nein</t>
  </si>
  <si>
    <t>6SM27LL-4500</t>
  </si>
  <si>
    <t>6SM37S-6000</t>
  </si>
  <si>
    <t>6SM37M-6000</t>
  </si>
  <si>
    <t>6SM37L-4000</t>
  </si>
  <si>
    <t>6SM37VL-6000</t>
  </si>
  <si>
    <t>6SM47L-3000</t>
  </si>
  <si>
    <t>6SM57S-3000</t>
  </si>
  <si>
    <t>6SM57M-3000</t>
  </si>
  <si>
    <t>6SM77K-3000</t>
  </si>
  <si>
    <t>6SM77S-3000</t>
  </si>
  <si>
    <t>6SM107K-3000</t>
  </si>
  <si>
    <t>6SM107S-3000</t>
  </si>
  <si>
    <t>6SM45S-3000</t>
  </si>
  <si>
    <t>6SM45M-3000</t>
  </si>
  <si>
    <t>6SM45L-3000</t>
  </si>
  <si>
    <t>6SM56S-3000</t>
  </si>
  <si>
    <t>6SM56M-3000</t>
  </si>
  <si>
    <t>6SM56L-3000</t>
  </si>
  <si>
    <t>6SM71K-3000</t>
  </si>
  <si>
    <t>6SM71S-3000</t>
  </si>
  <si>
    <t>6SM71M-3000</t>
  </si>
  <si>
    <t>6SM100K-3000</t>
  </si>
  <si>
    <t>6SM100S-3000</t>
  </si>
  <si>
    <t>6SM100M-3000</t>
  </si>
  <si>
    <t>6SM100L-3000</t>
  </si>
  <si>
    <t>Ja</t>
  </si>
  <si>
    <t>AKM11E</t>
  </si>
  <si>
    <t>AKM21G</t>
  </si>
  <si>
    <t>AKM23C</t>
  </si>
  <si>
    <t>AKM24C</t>
  </si>
  <si>
    <t>AKM32C</t>
  </si>
  <si>
    <t>AKM32D</t>
  </si>
  <si>
    <t>AKM33C</t>
  </si>
  <si>
    <t>AKM41C</t>
  </si>
  <si>
    <t>AKM42C</t>
  </si>
  <si>
    <t>AKM42E</t>
  </si>
  <si>
    <t>AKM42H</t>
  </si>
  <si>
    <t>AKM43E</t>
  </si>
  <si>
    <t>AKM43G</t>
  </si>
  <si>
    <t>AKM43K</t>
  </si>
  <si>
    <t>AKM44E</t>
  </si>
  <si>
    <t>AKM44G</t>
  </si>
  <si>
    <t>AKM44K</t>
  </si>
  <si>
    <t>AKM51E</t>
  </si>
  <si>
    <t>AKM51G</t>
  </si>
  <si>
    <t>AKM51H</t>
  </si>
  <si>
    <t>AKM51I</t>
  </si>
  <si>
    <t>AKM51K</t>
  </si>
  <si>
    <t>AKM51L</t>
  </si>
  <si>
    <t>AKM52E</t>
  </si>
  <si>
    <t>AKM52G</t>
  </si>
  <si>
    <t>AKM52H</t>
  </si>
  <si>
    <t>AKM52I</t>
  </si>
  <si>
    <t>AKM52K</t>
  </si>
  <si>
    <t>AKM52L</t>
  </si>
  <si>
    <t>AKM52M</t>
  </si>
  <si>
    <t>AKM53G</t>
  </si>
  <si>
    <t>AKM53H</t>
  </si>
  <si>
    <t>AKM53I</t>
  </si>
  <si>
    <t>AKM53K</t>
  </si>
  <si>
    <t>AKM53L</t>
  </si>
  <si>
    <t>AKM53M</t>
  </si>
  <si>
    <t>AKM53P</t>
  </si>
  <si>
    <t>AKM53Q</t>
  </si>
  <si>
    <t>AKM54G</t>
  </si>
  <si>
    <t>AKM54H</t>
  </si>
  <si>
    <t>AKM54I</t>
  </si>
  <si>
    <t>AKM54K</t>
  </si>
  <si>
    <t>AKM54L</t>
  </si>
  <si>
    <t>AKM54N</t>
  </si>
  <si>
    <t>AKM54P</t>
  </si>
  <si>
    <t>AKM62G</t>
  </si>
  <si>
    <t>AKM62H</t>
  </si>
  <si>
    <t>AKM62I</t>
  </si>
  <si>
    <t>AKM62K</t>
  </si>
  <si>
    <t>AKM62L</t>
  </si>
  <si>
    <t>AKM62M</t>
  </si>
  <si>
    <t>AKM62P</t>
  </si>
  <si>
    <t>AKM62Q</t>
  </si>
  <si>
    <t>AKM63G</t>
  </si>
  <si>
    <t>AKM63H</t>
  </si>
  <si>
    <t>AKM63I</t>
  </si>
  <si>
    <t>AKM63K</t>
  </si>
  <si>
    <t>AKM63L</t>
  </si>
  <si>
    <t>AKM63M</t>
  </si>
  <si>
    <t>AKM63N</t>
  </si>
  <si>
    <t>AKM63Q</t>
  </si>
  <si>
    <t>AKM64K</t>
  </si>
  <si>
    <t>AKM64L</t>
  </si>
  <si>
    <t>AKM64P</t>
  </si>
  <si>
    <t>AKM64Q</t>
  </si>
  <si>
    <t>AKM65K</t>
  </si>
  <si>
    <t>AKM65M</t>
  </si>
  <si>
    <t>AKM65N</t>
  </si>
  <si>
    <t>AKM65L</t>
  </si>
  <si>
    <t>AKM65P</t>
  </si>
  <si>
    <t>AKM72K</t>
  </si>
  <si>
    <t>AKM72L</t>
  </si>
  <si>
    <t>AKM72M</t>
  </si>
  <si>
    <t>AKM72P</t>
  </si>
  <si>
    <t>AKM72Q</t>
  </si>
  <si>
    <t>AKM73L</t>
  </si>
  <si>
    <t>AKM73M</t>
  </si>
  <si>
    <t>AKM73P</t>
  </si>
  <si>
    <t>AKM73Q</t>
  </si>
  <si>
    <t>AKM74L</t>
  </si>
  <si>
    <t>AKM74P</t>
  </si>
  <si>
    <t>AKM74Q</t>
  </si>
  <si>
    <t>AKM82T</t>
  </si>
  <si>
    <t>AKM83T</t>
  </si>
  <si>
    <t>AKM84T</t>
  </si>
  <si>
    <t>DBK4N00100</t>
  </si>
  <si>
    <t>DBK4H00100</t>
  </si>
  <si>
    <t>DBK4N00160</t>
  </si>
  <si>
    <t>DBK4H00160</t>
  </si>
  <si>
    <t>DBK5N00210</t>
  </si>
  <si>
    <t>DBK5H00210</t>
  </si>
  <si>
    <t>DBK5N00430</t>
  </si>
  <si>
    <t>DBK5H00430</t>
  </si>
  <si>
    <t>DBK6N00350</t>
  </si>
  <si>
    <t>DBK6N00700</t>
  </si>
  <si>
    <t>DBK7N00650</t>
  </si>
  <si>
    <t>DBK7N01200</t>
  </si>
  <si>
    <t>DBK7N01950</t>
  </si>
  <si>
    <t>DBL1X00010</t>
  </si>
  <si>
    <t>DBL1X00020</t>
  </si>
  <si>
    <t>DBL2H00040</t>
  </si>
  <si>
    <t>DBL2H00060</t>
  </si>
  <si>
    <t>DBL2M00080</t>
  </si>
  <si>
    <t>DBL2H00080</t>
  </si>
  <si>
    <t>DBL3N00065</t>
  </si>
  <si>
    <t>DBL3H00065</t>
  </si>
  <si>
    <t>DBL3N00130</t>
  </si>
  <si>
    <t>DBL3H00130</t>
  </si>
  <si>
    <t>DBL3M00190</t>
  </si>
  <si>
    <t>DBL3H00250</t>
  </si>
  <si>
    <t>DBL3N00300</t>
  </si>
  <si>
    <t>DBL4N00260</t>
  </si>
  <si>
    <t>DBL4H00260</t>
  </si>
  <si>
    <t>DBL4N00530</t>
  </si>
  <si>
    <t>DBL4H00530</t>
  </si>
  <si>
    <t>DBL4N00750</t>
  </si>
  <si>
    <t>DBL4H00750</t>
  </si>
  <si>
    <t>DBL4N00950</t>
  </si>
  <si>
    <t>DBL5N01050</t>
  </si>
  <si>
    <t>DBL5H01050</t>
  </si>
  <si>
    <t>DBL5N01350</t>
  </si>
  <si>
    <t>DBL5H01350</t>
  </si>
  <si>
    <t>DBL5N01700</t>
  </si>
  <si>
    <t>DBL5H01700</t>
  </si>
  <si>
    <t>DBL5N02200</t>
  </si>
  <si>
    <t>DBL6N02200</t>
  </si>
  <si>
    <t>DBL6N02900</t>
  </si>
  <si>
    <t>DBL7N02600</t>
  </si>
  <si>
    <t>DBL7N03200</t>
  </si>
  <si>
    <t>DBL7N04000</t>
  </si>
  <si>
    <t>DBL8N04000</t>
  </si>
  <si>
    <t>DBL8N06800</t>
  </si>
  <si>
    <t>DBL8L09300</t>
  </si>
  <si>
    <t>DBL8L11500</t>
  </si>
  <si>
    <t>SBK4-0100 (320V)</t>
  </si>
  <si>
    <t>SBK4-0100 (560V)</t>
  </si>
  <si>
    <t>SBK5-0210 (320V)</t>
  </si>
  <si>
    <t>SBK5-0210 (560V)</t>
  </si>
  <si>
    <t>SBK5-0430 (320V)</t>
  </si>
  <si>
    <t>SBK5-0430 (560V)</t>
  </si>
  <si>
    <t>SBK6-0350 (320V)</t>
  </si>
  <si>
    <t>SBK6-0350 (560V)</t>
  </si>
  <si>
    <t>SBK6-0700 (320V)</t>
  </si>
  <si>
    <t>SBK6-0700 (560V)</t>
  </si>
  <si>
    <t>SBK7-0650 (320V)</t>
  </si>
  <si>
    <t>SBK7-0650 (560V)</t>
  </si>
  <si>
    <t>SBK7-1200 (320V)</t>
  </si>
  <si>
    <t>SBK7-1200 (560V)</t>
  </si>
  <si>
    <t>SBK7-1950 (320V)</t>
  </si>
  <si>
    <t>SBK7-1950 (560V)</t>
  </si>
  <si>
    <t>SBL2-0020 (320V)</t>
  </si>
  <si>
    <t>SBL2-0020 (560V)</t>
  </si>
  <si>
    <t>SBL2-0040 (320V)</t>
  </si>
  <si>
    <t>SBL2-0040 (560V)</t>
  </si>
  <si>
    <t>SBL2-0060 (320V)</t>
  </si>
  <si>
    <t>SBL2-0060 (560V)</t>
  </si>
  <si>
    <t>SBL2-0080 (320V)</t>
  </si>
  <si>
    <t>SBL2-0080 (560V)</t>
  </si>
  <si>
    <t>SBL3-0065 (320V)</t>
  </si>
  <si>
    <t>SBL3-0065 (560V)</t>
  </si>
  <si>
    <t>SBL3-0130 (320V)</t>
  </si>
  <si>
    <t>SBL3-0130 (560V)</t>
  </si>
  <si>
    <t>SBL3-0190 (320V)</t>
  </si>
  <si>
    <t>SBL3-0190 (560V)</t>
  </si>
  <si>
    <t>SBL3-0250 (320V)</t>
  </si>
  <si>
    <t>SBL3-0250 (560V)</t>
  </si>
  <si>
    <t>SBL3-0300 (320V)</t>
  </si>
  <si>
    <t>SBL3-0300 (560V)</t>
  </si>
  <si>
    <t>SBL4-0260 (320V)</t>
  </si>
  <si>
    <t>SBL4-0260 (560V)</t>
  </si>
  <si>
    <t>SBL4-0530 (320V)</t>
  </si>
  <si>
    <t>SBL4-0530 (560V)</t>
  </si>
  <si>
    <t>SBL4-0750 (320V)</t>
  </si>
  <si>
    <t>SBL4-0750 (560V)</t>
  </si>
  <si>
    <t>SBL5-0660 (320V)</t>
  </si>
  <si>
    <t>SBL5-0660 (560V)</t>
  </si>
  <si>
    <t>SBL5-1050 (320V)</t>
  </si>
  <si>
    <t>SBL5-1050 (560V)</t>
  </si>
  <si>
    <t>SBL5-1350 (320V)</t>
  </si>
  <si>
    <t>SBL5-1350 (560V)</t>
  </si>
  <si>
    <t>SBL5-1700 (320V)</t>
  </si>
  <si>
    <t>SBL5-1700 (560V)</t>
  </si>
  <si>
    <t>SBL5-2200 (320V)</t>
  </si>
  <si>
    <t>SBL5-2200 (560V)</t>
  </si>
  <si>
    <t>SBL6-1350 (320V)</t>
  </si>
  <si>
    <t>SBL6-1350 (560V)</t>
  </si>
  <si>
    <t>SBL6-1900 (320V)</t>
  </si>
  <si>
    <t>SBL6-1900 (560V)</t>
  </si>
  <si>
    <t>SBL6-2200 (320V)</t>
  </si>
  <si>
    <t>SBL6-2200 (560V)</t>
  </si>
  <si>
    <t>SBL6-2900 (320V)</t>
  </si>
  <si>
    <t>SBL6-2900 (560V)</t>
  </si>
  <si>
    <t>SBL7-2600 (320V)</t>
  </si>
  <si>
    <t>SBL7-2600 (560V)</t>
  </si>
  <si>
    <t>SBL7-3200 (320V)</t>
  </si>
  <si>
    <t>SBL7-3200 (560V)</t>
  </si>
  <si>
    <t>SBL7-4000 (320V)</t>
  </si>
  <si>
    <t>SBL7-4000 (560V)</t>
  </si>
  <si>
    <t>SBL8-4000 (320V)</t>
  </si>
  <si>
    <t>SBL8-4000 (560V)</t>
  </si>
  <si>
    <t>SBL8-6800 (320V)</t>
  </si>
  <si>
    <t>SBL8-6800 (560V)</t>
  </si>
  <si>
    <t>SBL8-9300 (320V)</t>
  </si>
  <si>
    <t>SBL8-9300 (560V)</t>
  </si>
  <si>
    <t>SBL8-11500 (320V)</t>
  </si>
  <si>
    <t>SBL8-11500 (560V)</t>
  </si>
  <si>
    <t>C041A (240 V)</t>
  </si>
  <si>
    <t>C041B (240 V)</t>
  </si>
  <si>
    <t>C042A (240 V)</t>
  </si>
  <si>
    <t>C042B (240 V)</t>
  </si>
  <si>
    <t>C043A (240 V)</t>
  </si>
  <si>
    <t>C043B (240 V)</t>
  </si>
  <si>
    <t>C044A (240 V)</t>
  </si>
  <si>
    <t>C044B (240 V)</t>
  </si>
  <si>
    <t>C051A (240 V)</t>
  </si>
  <si>
    <t>C051B (240 V)</t>
  </si>
  <si>
    <t>C052A (240 V)</t>
  </si>
  <si>
    <t>C052B (240 V)</t>
  </si>
  <si>
    <t>C052C (240 V)</t>
  </si>
  <si>
    <t>C052D (240 V)</t>
  </si>
  <si>
    <t>C053A (240 V)</t>
  </si>
  <si>
    <t>C053B (240 V)</t>
  </si>
  <si>
    <t>C054A (240 V)</t>
  </si>
  <si>
    <t>C054B (240 V)</t>
  </si>
  <si>
    <t>C061A (240 V)</t>
  </si>
  <si>
    <t>C061B (240 V)</t>
  </si>
  <si>
    <t>C062A (240 V)</t>
  </si>
  <si>
    <t>C062B (240 V)</t>
  </si>
  <si>
    <t>C062C (240 V)</t>
  </si>
  <si>
    <t>C063A (240 V)</t>
  </si>
  <si>
    <t>C063B (240 V)</t>
  </si>
  <si>
    <t>C063C (240 V)</t>
  </si>
  <si>
    <t>C091A (230 V)</t>
  </si>
  <si>
    <t>C092A (230 V)</t>
  </si>
  <si>
    <t>C092C (230 V)</t>
  </si>
  <si>
    <t>C093A (230 V)</t>
  </si>
  <si>
    <t>C093C (230 V)</t>
  </si>
  <si>
    <t>C131A (230 V)</t>
  </si>
  <si>
    <t>C131B (230 V)</t>
  </si>
  <si>
    <t>C131C (230 V)</t>
  </si>
  <si>
    <t>C132A (230 V)</t>
  </si>
  <si>
    <t>C132B (230 V)</t>
  </si>
  <si>
    <t>C132C (230 V)</t>
  </si>
  <si>
    <t>C133A (230 V)</t>
  </si>
  <si>
    <t>C133B (230 V)</t>
  </si>
  <si>
    <t>C133C (230 V)</t>
  </si>
  <si>
    <t>CH041A (400 V)</t>
  </si>
  <si>
    <t>CH041A (480 V)</t>
  </si>
  <si>
    <t>CH042A (400 V)</t>
  </si>
  <si>
    <t>CH042A (480 V)</t>
  </si>
  <si>
    <t>CH043A (400 V)</t>
  </si>
  <si>
    <t>CH043A (480 V)</t>
  </si>
  <si>
    <t>CH044A (400 V)</t>
  </si>
  <si>
    <t>CH044A (480 V)</t>
  </si>
  <si>
    <t>CH051A (400 V)</t>
  </si>
  <si>
    <t>CH051A (480 V)</t>
  </si>
  <si>
    <t>CH052A (400 V)</t>
  </si>
  <si>
    <t>CH052A (480 V)</t>
  </si>
  <si>
    <t>CH052C (400 V)</t>
  </si>
  <si>
    <t>CH052C (480 V)</t>
  </si>
  <si>
    <t>CH053A (400 V)</t>
  </si>
  <si>
    <t>CH053A (480 V)</t>
  </si>
  <si>
    <t>CH054A (400 V)</t>
  </si>
  <si>
    <t>CH054A (480 V)</t>
  </si>
  <si>
    <t>CH061A (400 V)</t>
  </si>
  <si>
    <t>CH061A (480 V)</t>
  </si>
  <si>
    <t>CH062A (400 V)</t>
  </si>
  <si>
    <t>CH062A (480 V)</t>
  </si>
  <si>
    <t>CH062C (400 V)</t>
  </si>
  <si>
    <t>CH062C (480 V)</t>
  </si>
  <si>
    <t>CH063A (400 V)</t>
  </si>
  <si>
    <t>CH063A (480 V)</t>
  </si>
  <si>
    <t>CH063B (400 V)</t>
  </si>
  <si>
    <t>CH063B (480 V)</t>
  </si>
  <si>
    <t>CH063C (400 V)</t>
  </si>
  <si>
    <t>CH063C (480 V)</t>
  </si>
  <si>
    <t>CH091A (400 V)</t>
  </si>
  <si>
    <t>CH091A (480 V)</t>
  </si>
  <si>
    <t>CH092A (400 V)</t>
  </si>
  <si>
    <t>CH092A (480 V)</t>
  </si>
  <si>
    <t>CH092C (400 V)</t>
  </si>
  <si>
    <t>CH092C (480 V)</t>
  </si>
  <si>
    <t>CH093A (400 V)</t>
  </si>
  <si>
    <t>CH093A (480 V)</t>
  </si>
  <si>
    <t>CH093C (400 V)</t>
  </si>
  <si>
    <t>CH093C (480 V)</t>
  </si>
  <si>
    <t>CH131A (400 V)</t>
  </si>
  <si>
    <t>CH131A (480 V)</t>
  </si>
  <si>
    <t>CH131B (400 V)</t>
  </si>
  <si>
    <t>CH131B (480 V)</t>
  </si>
  <si>
    <t>CH131C (400 V)</t>
  </si>
  <si>
    <t>CH131C (480 V)</t>
  </si>
  <si>
    <t>CH132A (400 V)</t>
  </si>
  <si>
    <t>CH132A (480 V)</t>
  </si>
  <si>
    <t>CH132B (400 V)</t>
  </si>
  <si>
    <t>CH132B (480 V)</t>
  </si>
  <si>
    <t>CH132C (400 V)</t>
  </si>
  <si>
    <t>CH132C (480 V)</t>
  </si>
  <si>
    <t>CH133A (400 V)</t>
  </si>
  <si>
    <t>CH133A (480 V)</t>
  </si>
  <si>
    <t>CH133B (400 V)</t>
  </si>
  <si>
    <t>CH133B (480 V)</t>
  </si>
  <si>
    <t>CH133C (400 V)</t>
  </si>
  <si>
    <t>CH133C (480 V)</t>
  </si>
  <si>
    <t>KBM-10H01-A (120 V)</t>
  </si>
  <si>
    <t>KBM-10H01-A (240 V)</t>
  </si>
  <si>
    <t>KBM-10H01-A (400 V)</t>
  </si>
  <si>
    <t>KBM-10H01-B (120 V)</t>
  </si>
  <si>
    <t>KBM-10H01-B (240 V)</t>
  </si>
  <si>
    <t>KBM-10H01-C (120 V)</t>
  </si>
  <si>
    <t>KBM-10H01-C (240 V)</t>
  </si>
  <si>
    <t>KBM-10H02-A (120 V)</t>
  </si>
  <si>
    <t>KBM-10H02-A (240 V)</t>
  </si>
  <si>
    <t>KBM-10H02-A (400 V)</t>
  </si>
  <si>
    <t>KBM-10H02-A (480 V)</t>
  </si>
  <si>
    <t>KBM-10H02-B (120 V)</t>
  </si>
  <si>
    <t>KBM-10H02-B (240 V)</t>
  </si>
  <si>
    <t>KBM-10H02-B (400 V)</t>
  </si>
  <si>
    <t>KBM-10H02-C (120 V)</t>
  </si>
  <si>
    <t>KBM-10H02-C (240 V)</t>
  </si>
  <si>
    <t>KBM-10H03-A (120 V)</t>
  </si>
  <si>
    <t>KBM-10H03-A (240 V)</t>
  </si>
  <si>
    <t>KBM-10H03-A (400 V)</t>
  </si>
  <si>
    <t>KBM-10H03-A (480 V)</t>
  </si>
  <si>
    <t>KBM-10H03-B (120 V)</t>
  </si>
  <si>
    <t>KBM-10H03-B (240 V)</t>
  </si>
  <si>
    <t>KBM-10H03-B (400 V)</t>
  </si>
  <si>
    <t>KBM-10H03-B (480 V)</t>
  </si>
  <si>
    <t>KBM-10H03-C (120 V)</t>
  </si>
  <si>
    <t>KBM-10H03-C (240 V)</t>
  </si>
  <si>
    <t>KBM-10H03-C (400 V)</t>
  </si>
  <si>
    <t>KBM-10H03-D (120 V)</t>
  </si>
  <si>
    <t>KBM-10H03-D (240 V)</t>
  </si>
  <si>
    <t>KBM-10H04-A (120 V)</t>
  </si>
  <si>
    <t>KBM-10H04-A (240 V)</t>
  </si>
  <si>
    <t>KBM-10H04-A (400 V)</t>
  </si>
  <si>
    <t>KBM-10H04-A (480 V)</t>
  </si>
  <si>
    <t>KBM-10H04-B (120 V)</t>
  </si>
  <si>
    <t>KBM-10H04-B (240 V)</t>
  </si>
  <si>
    <t>KBM-10H04-B (400 V)</t>
  </si>
  <si>
    <t>KBM-10H04-B (480 V)</t>
  </si>
  <si>
    <t>KBM-10H04-C (120 V)</t>
  </si>
  <si>
    <t>KBM-10H04-C (240 V)</t>
  </si>
  <si>
    <t>KBM-10H04-C (400 V)</t>
  </si>
  <si>
    <t>KBM-10H04-D (120 V)</t>
  </si>
  <si>
    <t>KBM-10H04-D (240 V)</t>
  </si>
  <si>
    <t>KBM-14H01-A (120 V)</t>
  </si>
  <si>
    <t>KBM-14H01-A (240 V)</t>
  </si>
  <si>
    <t>KBM-14H01-A (400 V)</t>
  </si>
  <si>
    <t>KBM-14H01-A (480 V)</t>
  </si>
  <si>
    <t>KBM-14H01-B (120 V)</t>
  </si>
  <si>
    <t>KBM-14H01-B (240 V)</t>
  </si>
  <si>
    <t>KBM-14H01-B (400 V)</t>
  </si>
  <si>
    <t>KBM-14H01-C (120 V)</t>
  </si>
  <si>
    <t>KBM-14H01-C (240 V)</t>
  </si>
  <si>
    <t>KBM-14H02-A (120 V)</t>
  </si>
  <si>
    <t>KBM-14H02-A (240 V)</t>
  </si>
  <si>
    <t>KBM-14H02-A (400 V)</t>
  </si>
  <si>
    <t>KBM-14H02-A (480 V)</t>
  </si>
  <si>
    <t>KBM-14H02-B (120 V)</t>
  </si>
  <si>
    <t>KBM-14H02-B (240 V)</t>
  </si>
  <si>
    <t>KBM-14H02-B (400 V)</t>
  </si>
  <si>
    <t>KBM-14H02-B (480 V)</t>
  </si>
  <si>
    <t>KBM-14H02-C (120 V)</t>
  </si>
  <si>
    <t>KBM-14H02-C (240 V)</t>
  </si>
  <si>
    <t>KBM-14H02-C (400 V)</t>
  </si>
  <si>
    <t>KBM-14H02-C (480 V)</t>
  </si>
  <si>
    <t>KBM-14H02-D (120 V)</t>
  </si>
  <si>
    <t>KBM-14H02-D (240 V)</t>
  </si>
  <si>
    <t>KBM-14H03-A (120 V)</t>
  </si>
  <si>
    <t>KBM-14H03-A (240 V)</t>
  </si>
  <si>
    <t>KBM-14H03-A (400 V)</t>
  </si>
  <si>
    <t>KBM-14H03-A (480 V)</t>
  </si>
  <si>
    <t>KBM-14H03-B (120 V)</t>
  </si>
  <si>
    <t>KBM-14H03-B (240 V)</t>
  </si>
  <si>
    <t>KBM-14H03-B (400 V)</t>
  </si>
  <si>
    <t>KBM-14H03-B (480 V)</t>
  </si>
  <si>
    <t>KBM-14H03-C (120 V)</t>
  </si>
  <si>
    <t>KBM-14H03-C (240 V)</t>
  </si>
  <si>
    <t>KBM-17H01-A (120 V)</t>
  </si>
  <si>
    <t>KBM-17H01-A (240 V)</t>
  </si>
  <si>
    <t>KBM-17H01-A (400 V)</t>
  </si>
  <si>
    <t>KBM-17H01-A (480 V)</t>
  </si>
  <si>
    <t>KBM-17H01-B (120 V)</t>
  </si>
  <si>
    <t>KBM-17H01-B (240 V)</t>
  </si>
  <si>
    <t>KBM-17H01-B (400 V)</t>
  </si>
  <si>
    <t>KBM-17H01-B (480 V)</t>
  </si>
  <si>
    <t>KBM-17H01-C (120 V)</t>
  </si>
  <si>
    <t>KBM-17H01-C (240 V)</t>
  </si>
  <si>
    <t>KBM-17H02-A (120 V)</t>
  </si>
  <si>
    <t>KBM-17H02-A (240 V)</t>
  </si>
  <si>
    <t>KBM-17H02-A (400 V)</t>
  </si>
  <si>
    <t>KBM-17H02-A (480 V)</t>
  </si>
  <si>
    <t>KBM-17H02-B (120 V)</t>
  </si>
  <si>
    <t>KBM-17H02-B (240 V)</t>
  </si>
  <si>
    <t>KBM-17H02-B (400 V)</t>
  </si>
  <si>
    <t>KBM-17H02-B (480 V)</t>
  </si>
  <si>
    <t>KBM-17H02-C (120 V)</t>
  </si>
  <si>
    <t>KBM-17H02-C (240 V)</t>
  </si>
  <si>
    <t>KBM-17H02-C (400 V)</t>
  </si>
  <si>
    <t>KBM-17H02-D (120 V)</t>
  </si>
  <si>
    <t>KBM-17H02-D (240 V)</t>
  </si>
  <si>
    <t>KBM-17H02-E (120 V)</t>
  </si>
  <si>
    <t>KBM-17H02-E (240 V)</t>
  </si>
  <si>
    <t>KBM-17H03-A (120 V)</t>
  </si>
  <si>
    <t>KBM-17H03-A (240 V)</t>
  </si>
  <si>
    <t>KBM-17H03-A (400 V)</t>
  </si>
  <si>
    <t>KBM-17H03-A (480 V)</t>
  </si>
  <si>
    <t>KBM-17H03-B (120 V)</t>
  </si>
  <si>
    <t>KBM-17H03-B (240 V)</t>
  </si>
  <si>
    <t>KBM-17H03-B (400 V)</t>
  </si>
  <si>
    <t>KBM-17H03-C (120 V)</t>
  </si>
  <si>
    <t>KBM-17H03-C (240 V)</t>
  </si>
  <si>
    <t>KBM-17H03-C (400 V)</t>
  </si>
  <si>
    <t>KBM-17H03-D (120 V)</t>
  </si>
  <si>
    <t>KBM-17H03-D (240 V)</t>
  </si>
  <si>
    <t>KBM-17H04-A (120 V)</t>
  </si>
  <si>
    <t>KBM-17H04-A (240 V)</t>
  </si>
  <si>
    <t>KBM-17H04-A (400 V)</t>
  </si>
  <si>
    <t>KBM-17H04-A (480 V)</t>
  </si>
  <si>
    <t>KBM-17H04-B (120 V)</t>
  </si>
  <si>
    <t>KBM-17H04-B (240 V)</t>
  </si>
  <si>
    <t>KBM-17H04-B (400 V)</t>
  </si>
  <si>
    <t>KBM-17H04-B (480 V)</t>
  </si>
  <si>
    <t>KBM-17H04-C (120 V)</t>
  </si>
  <si>
    <t>KBM-17H04-C (240 V)</t>
  </si>
  <si>
    <t>KBM-17H04-C (400 V)</t>
  </si>
  <si>
    <t>KBM-17H04-D (120 V)</t>
  </si>
  <si>
    <t>KBM-17H04-D (240 V)</t>
  </si>
  <si>
    <t>KBM-25H01-A (120 V)</t>
  </si>
  <si>
    <t>KBM-25H01-A (240 V)</t>
  </si>
  <si>
    <t>KBM-25H01-A (400 V)</t>
  </si>
  <si>
    <t>KBM-25H01-A (480 V)</t>
  </si>
  <si>
    <t>KBM-25H01-B (120 V)</t>
  </si>
  <si>
    <t>KBM-25H01-B (240 V)</t>
  </si>
  <si>
    <t>KBM-25H01-B (400 V)</t>
  </si>
  <si>
    <t>KBM-25H01-C (120 V)</t>
  </si>
  <si>
    <t>KBM-25H01-C (240 V)</t>
  </si>
  <si>
    <t>KBM-25H01-D (120 V)</t>
  </si>
  <si>
    <t>KBM-25H01-D (240 V)</t>
  </si>
  <si>
    <t>KBM-25H01-E (120 V)</t>
  </si>
  <si>
    <t>KBM-25H01-E (240 V)</t>
  </si>
  <si>
    <t>KBM-25H01-F (120 V)</t>
  </si>
  <si>
    <t>KBM-25H02-A (120 V)</t>
  </si>
  <si>
    <t>KBM-25H02-A (240 V)</t>
  </si>
  <si>
    <t>KBM-25H02-A (400 V)</t>
  </si>
  <si>
    <t>KBM-25H02-A (480 V)</t>
  </si>
  <si>
    <t>KBM-25H02-B (120 V)</t>
  </si>
  <si>
    <t>KBM-25H02-B (240 V)</t>
  </si>
  <si>
    <t>KBM-25H02-B (400 V)</t>
  </si>
  <si>
    <t>KBM-25H02-B (480 V)</t>
  </si>
  <si>
    <t>KBM-25H02-C (120 V)</t>
  </si>
  <si>
    <t>KBM-25H02-C (240 V)</t>
  </si>
  <si>
    <t>KBM-25H02-C (400 V)</t>
  </si>
  <si>
    <t>KBM-25H02-C (480 V)</t>
  </si>
  <si>
    <t>KBM-25H02-D (120 V)</t>
  </si>
  <si>
    <t>KBM-25H02-D (240 V)</t>
  </si>
  <si>
    <t>KBM-25H02-D (400 V)</t>
  </si>
  <si>
    <t>KBM-25H02-D (480 V)</t>
  </si>
  <si>
    <t>KBM-25H02-E (120 V)</t>
  </si>
  <si>
    <t>KBM-25H02-E (240 V)</t>
  </si>
  <si>
    <t>KBM-25H02-E (400 V)</t>
  </si>
  <si>
    <t>KBM-25H02-F (120 V)</t>
  </si>
  <si>
    <t>KBM-25H02-F (240 V)</t>
  </si>
  <si>
    <t>KBM-25H02-G (120 V)</t>
  </si>
  <si>
    <t>KBM-25H02-G (240 V)</t>
  </si>
  <si>
    <t>KBM-25H03-A (120 V)</t>
  </si>
  <si>
    <t>KBM-25H03-A (240 V)</t>
  </si>
  <si>
    <t>KBM-25H03-A (400 V)</t>
  </si>
  <si>
    <t>KBM-25H03-A (480 V)</t>
  </si>
  <si>
    <t>KBM-25H03-B (120 V)</t>
  </si>
  <si>
    <t>KBM-25H03-B (240 V)</t>
  </si>
  <si>
    <t>KBM-25H03-B (400 V)</t>
  </si>
  <si>
    <t>KBM-25H03-B (480 V)</t>
  </si>
  <si>
    <t>KBM-25H03-C (120 V)</t>
  </si>
  <si>
    <t>KBM-25H03-C (240 V)</t>
  </si>
  <si>
    <t>KBM-25H03-C (400 V)</t>
  </si>
  <si>
    <t>KBM-25H03-C (480 V)</t>
  </si>
  <si>
    <t>KBM-25H03-D (120 V)</t>
  </si>
  <si>
    <t>KBM-25H03-D (240 V)</t>
  </si>
  <si>
    <t>KBM-25H03-D (400 V)</t>
  </si>
  <si>
    <t>KBM-25H03-E (120 V)</t>
  </si>
  <si>
    <t>KBM-25H03-E (240 V)</t>
  </si>
  <si>
    <t>KBM-25H03-F (120 V)</t>
  </si>
  <si>
    <t>KBM-25H03-F (240 V)</t>
  </si>
  <si>
    <t>KBM-25H03-G (120 V)</t>
  </si>
  <si>
    <t>KBM-25H03-G (240 V)</t>
  </si>
  <si>
    <t>KBM-25H03-H (120 V)</t>
  </si>
  <si>
    <t>KBM-25H03-H (240 V)</t>
  </si>
  <si>
    <t>KBM-25H04-A (120 V)</t>
  </si>
  <si>
    <t>KBM-25H04-A (240 V)</t>
  </si>
  <si>
    <t>KBM-25H04-A (400 V)</t>
  </si>
  <si>
    <t>KBM-25H04-A (480 V)</t>
  </si>
  <si>
    <t>KBM-25H04-B (120 V)</t>
  </si>
  <si>
    <t>KBM-25H04-B (240 V)</t>
  </si>
  <si>
    <t>KBM-25H04-B (400 V)</t>
  </si>
  <si>
    <t>KBM-25H04-B (480 V)</t>
  </si>
  <si>
    <t>KBM-25H04-C (120 V)</t>
  </si>
  <si>
    <t>KBM-25H04-C (240 V)</t>
  </si>
  <si>
    <t>KBM-25H04-C (400 V)</t>
  </si>
  <si>
    <t>KBM-25H04-C (480 V)</t>
  </si>
  <si>
    <t>KBM-25H04-D (120 V)</t>
  </si>
  <si>
    <t>KBM-25H04-D (240 V)</t>
  </si>
  <si>
    <t>KBM-25H04-D (400 V)</t>
  </si>
  <si>
    <t>KBM-25H04-D (480 V)</t>
  </si>
  <si>
    <t>KBM-25H04-E (120 V)</t>
  </si>
  <si>
    <t>KBM-25H04-E (240 V)</t>
  </si>
  <si>
    <t>KBM-25H04-E (400 V)</t>
  </si>
  <si>
    <t>KBM-25H04-F (120 V)</t>
  </si>
  <si>
    <t>KBM-25H04-F (240 V)</t>
  </si>
  <si>
    <t>KBM-25H04-G (120 V)</t>
  </si>
  <si>
    <t>KBM-25H04-G (240 V)</t>
  </si>
  <si>
    <t>KBM-35H01-A (120 V)</t>
  </si>
  <si>
    <t>KBM-35H01-A (240 V)</t>
  </si>
  <si>
    <t>KBM-35H01-A (400 V)</t>
  </si>
  <si>
    <t>KBM-35H01-A (480 V)</t>
  </si>
  <si>
    <t>KBM-35H01-B (120 V)</t>
  </si>
  <si>
    <t>KBM-35H01-B (240 V)</t>
  </si>
  <si>
    <t>KBM-35H01-B (400 V)</t>
  </si>
  <si>
    <t>KBM-35H01-B (480 V)</t>
  </si>
  <si>
    <t>KBM-35H01-C (120 V)</t>
  </si>
  <si>
    <t>KBM-35H01-C (240 V)</t>
  </si>
  <si>
    <t>KBM-35H01-C (400 V)</t>
  </si>
  <si>
    <t>KBM-35H01-C (480 V)</t>
  </si>
  <si>
    <t>KBM-35H01-D (120 V)</t>
  </si>
  <si>
    <t>KBM-35H01-D (240 V)</t>
  </si>
  <si>
    <t>KBM-35H01-D (400 V)</t>
  </si>
  <si>
    <t>KBM-35H01-D (480 V)</t>
  </si>
  <si>
    <t>KBM-35H01-E (120 V)</t>
  </si>
  <si>
    <t>KBM-35H01-E (240 V)</t>
  </si>
  <si>
    <t>KBM-35H01-E (400 V)</t>
  </si>
  <si>
    <t>KBM-35H01-F (120 V)</t>
  </si>
  <si>
    <t>KBM-35H01-F (240 V)</t>
  </si>
  <si>
    <t>KBM-35H01-F (400 V)</t>
  </si>
  <si>
    <t>KBM-35H01-G (120 V)</t>
  </si>
  <si>
    <t>KBM-35H01-G (240 V)</t>
  </si>
  <si>
    <t>KBM-35H01-H (120 V)</t>
  </si>
  <si>
    <t>KBM-35H01-H (240 V)</t>
  </si>
  <si>
    <t>KBM-35H02-A (120 V)</t>
  </si>
  <si>
    <t>KBM-35H02-A (240 V)</t>
  </si>
  <si>
    <t>KBM-35H02-A (400 V)</t>
  </si>
  <si>
    <t>KBM-35H02-A (480 V)</t>
  </si>
  <si>
    <t>KBM-35H02-B (120 V)</t>
  </si>
  <si>
    <t>KBM-35H02-B (240 V)</t>
  </si>
  <si>
    <t>KBM-35H02-B (400 V)</t>
  </si>
  <si>
    <t>KBM-35H02-B (480 V)</t>
  </si>
  <si>
    <t>KBM-35H02-C (120 V)</t>
  </si>
  <si>
    <t>KBM-35H02-C (240 V)</t>
  </si>
  <si>
    <t>KBM-35H02-C (400 V)</t>
  </si>
  <si>
    <t>KBM-35H02-C (480 V)</t>
  </si>
  <si>
    <t>KBM-35H02-D (120 V)</t>
  </si>
  <si>
    <t>KBM-35H02-D (240 V)</t>
  </si>
  <si>
    <t>KBM-35H02-D (400 V)</t>
  </si>
  <si>
    <t>KBM-35H02-D (480 V)</t>
  </si>
  <si>
    <t>KBM-35H02-E (120 V)</t>
  </si>
  <si>
    <t>KBM-35H02-E (240 V)</t>
  </si>
  <si>
    <t>KBM-35H02-E (400 V)</t>
  </si>
  <si>
    <t>KBM-35H02-E (480 V)</t>
  </si>
  <si>
    <t>KBM-35H02-F (120 V)</t>
  </si>
  <si>
    <t>KBM-35H02-F (240 V)</t>
  </si>
  <si>
    <t>KBM-35H02-F (400 V)</t>
  </si>
  <si>
    <t>KBM-35H02-F (480 V)</t>
  </si>
  <si>
    <t>KBM-35H02-G (120 V)</t>
  </si>
  <si>
    <t>KBM-35H02-G (240 V)</t>
  </si>
  <si>
    <t>KBM-35H02-G (400 V)</t>
  </si>
  <si>
    <t>KBM-35H03-A (120 V)</t>
  </si>
  <si>
    <t>KBM-35H03-A (240 V)</t>
  </si>
  <si>
    <t>KBM-35H03-A (400 V)</t>
  </si>
  <si>
    <t>KBM-35H03-A (480 V)</t>
  </si>
  <si>
    <t>KBM-35H03-B (120 V)</t>
  </si>
  <si>
    <t>KBM-35H03-B (240 V)</t>
  </si>
  <si>
    <t>KBM-35H03-B (400 V)</t>
  </si>
  <si>
    <t>KBM-35H03-B (480 V)</t>
  </si>
  <si>
    <t>KBM-35H03-C (120 V)</t>
  </si>
  <si>
    <t>KBM-35H03-C (240 V)</t>
  </si>
  <si>
    <t>KBM-35H03-C (400 V)</t>
  </si>
  <si>
    <t>KBM-35H03-D (120 V)</t>
  </si>
  <si>
    <t>KBM-35H03-D (240 V)</t>
  </si>
  <si>
    <t>KBM-35H04-A (120 V)</t>
  </si>
  <si>
    <t>KBM-35H04-A (240 V)</t>
  </si>
  <si>
    <t>KBM-35H04-A (400 V)</t>
  </si>
  <si>
    <t>KBM-35H04-A (480 V)</t>
  </si>
  <si>
    <t>KBM-35H04-B (120 V)</t>
  </si>
  <si>
    <t>KBM-35H04-B (240 V)</t>
  </si>
  <si>
    <t>KBM-35H04-B (400 V)</t>
  </si>
  <si>
    <t>KBM-35H04-B (480 V)</t>
  </si>
  <si>
    <t>KBM-35H04-C (120 V)</t>
  </si>
  <si>
    <t>KBM-35H04-C (240 V)</t>
  </si>
  <si>
    <t>KBM-35H04-C (400 V)</t>
  </si>
  <si>
    <t>KBM-35H04-C (480 V)</t>
  </si>
  <si>
    <t>KBM-35H04-D (120 V)</t>
  </si>
  <si>
    <t>KBM-35H04-D (240 V)</t>
  </si>
  <si>
    <t>KBM-35H04-D (400 V)</t>
  </si>
  <si>
    <t>KBM-35H04-E (120 V)</t>
  </si>
  <si>
    <t>KBM-35H04-E (240 V)</t>
  </si>
  <si>
    <t>KBM-35H04-E (400 V)</t>
  </si>
  <si>
    <t>KBM-45H01-A (120 V)</t>
  </si>
  <si>
    <t>KBM-45H01-A (240 V)</t>
  </si>
  <si>
    <t>KBM-45H01-A (400 V)</t>
  </si>
  <si>
    <t>KBM-45H01-A (480 V)</t>
  </si>
  <si>
    <t>KBM-45H01-B (120 V)</t>
  </si>
  <si>
    <t>KBM-45H01-B (240 V)</t>
  </si>
  <si>
    <t>KBM-45H01-B (400 V)</t>
  </si>
  <si>
    <t>KBM-45H01-B (480 V)</t>
  </si>
  <si>
    <t>KBM-45H01-C (120 V)</t>
  </si>
  <si>
    <t>KBM-45H01-C (240 V)</t>
  </si>
  <si>
    <t>KBM-45H01-C (400 V)</t>
  </si>
  <si>
    <t>KBM-45H01-C (480 V)</t>
  </si>
  <si>
    <t>KBM-45H01-D (120 V)</t>
  </si>
  <si>
    <t>KBM-45H01-D (240 V)</t>
  </si>
  <si>
    <t>KBM-45H01-D (400 V)</t>
  </si>
  <si>
    <t>KBM-45H01-E (120 V)</t>
  </si>
  <si>
    <t>KBM-45H01-E (240 V)</t>
  </si>
  <si>
    <t>KBM-45H02-A (120 V)</t>
  </si>
  <si>
    <t>KBM-45H02-A (240 V)</t>
  </si>
  <si>
    <t>KBM-45H02-A (400 V)</t>
  </si>
  <si>
    <t>KBM-45H02-A (480 V)</t>
  </si>
  <si>
    <t>KBM-45H02-B (120 V)</t>
  </si>
  <si>
    <t>KBM-45H02-B (240 V)</t>
  </si>
  <si>
    <t>KBM-45H02-B (400 V)</t>
  </si>
  <si>
    <t>KBM-45H02-B (480 V)</t>
  </si>
  <si>
    <t>KBM-45H02-C (120 V)</t>
  </si>
  <si>
    <t>KBM-45H02-C (240 V)</t>
  </si>
  <si>
    <t>KBM-45H02-C (400 V)</t>
  </si>
  <si>
    <t>KBM-45H02-C (480 V)</t>
  </si>
  <si>
    <t>KBM-45H03-A (120 V)</t>
  </si>
  <si>
    <t>KBM-45H03-A (240 V)</t>
  </si>
  <si>
    <t>KBM-45H03-A (400 V)</t>
  </si>
  <si>
    <t>KBM-45H03-A (480 V)</t>
  </si>
  <si>
    <t>KBM-45H03-B (120 V)</t>
  </si>
  <si>
    <t>KBM-45H03-B (240 V)</t>
  </si>
  <si>
    <t>KBM-45H03-B (400 V)</t>
  </si>
  <si>
    <t>KBM-45H03-B (480 V)</t>
  </si>
  <si>
    <t>KBM-43H01-A (400 V)</t>
  </si>
  <si>
    <t>KBM-43H02-A (400 V)</t>
  </si>
  <si>
    <t>KBM-43H02-A (480 V)</t>
  </si>
  <si>
    <t>KBM-43H03-A (400 V)</t>
  </si>
  <si>
    <t>KBM-43H03-A (480 V)</t>
  </si>
  <si>
    <t>KBM-43S01-A (240 V)</t>
  </si>
  <si>
    <t>KBM-43S02-A (240 V)</t>
  </si>
  <si>
    <t>KBM-43S03-A (240 V)</t>
  </si>
  <si>
    <t>KBM-57H01-A (400 V)</t>
  </si>
  <si>
    <t>KBM-57H01-A (480 V)</t>
  </si>
  <si>
    <t>KBM-57H02-A (400 V)</t>
  </si>
  <si>
    <t>KBM-57H02-A (480 V)</t>
  </si>
  <si>
    <t>KBM-57H03-A (400 V)</t>
  </si>
  <si>
    <t>KBM-57H03-A (480 V)</t>
  </si>
  <si>
    <t>KBM-57S01-A (240 V)</t>
  </si>
  <si>
    <t>KBM-57S02-A (240 V)</t>
  </si>
  <si>
    <t>KBM-57S03-A (240 V)</t>
  </si>
  <si>
    <t>KBM-79H01-A (400 V)</t>
  </si>
  <si>
    <t>KBM-79H01-A (480 V)</t>
  </si>
  <si>
    <t>KBM-79H02-A (400 V)</t>
  </si>
  <si>
    <t>KBM-79H02-A (480 V)</t>
  </si>
  <si>
    <t>KBM-79H03-A (400 V)</t>
  </si>
  <si>
    <t>KBM-79H03-A (480 V)</t>
  </si>
  <si>
    <t>KBM-79S01-A (240 V)</t>
  </si>
  <si>
    <t>KBM-79S02-A (240 V)</t>
  </si>
  <si>
    <t>KBM-79S03-A (240 V)</t>
  </si>
  <si>
    <t>KBM-118H01-A (400 V)</t>
  </si>
  <si>
    <t>KBM-118H02-A (400 V)</t>
  </si>
  <si>
    <t>KBM-118H02-A (480 V)</t>
  </si>
  <si>
    <t>KBM-118H03-A (400 V)</t>
  </si>
  <si>
    <t>KBM-118H03-A (480 V)</t>
  </si>
  <si>
    <t>KBM-118H04-A (400 V)</t>
  </si>
  <si>
    <t>KBM-118H04-A (480 V)</t>
  </si>
  <si>
    <t>KBM-118S01-A (240 V)</t>
  </si>
  <si>
    <t>KBM-118S02-A (240 V)</t>
  </si>
  <si>
    <t>KBM-118S03-A (240 V)</t>
  </si>
  <si>
    <t>KBM-118S04-A (240 V)</t>
  </si>
  <si>
    <t>KBM-60H01-A (400 V)</t>
  </si>
  <si>
    <t>KBM-60H01-A (480 V)</t>
  </si>
  <si>
    <t>KBM-60H02-A (400 V)</t>
  </si>
  <si>
    <t>KBM-60H02-A (480 V)</t>
  </si>
  <si>
    <t>KBM-60H03-A (400 V)</t>
  </si>
  <si>
    <t>KBM-60H03-A (480 V)</t>
  </si>
  <si>
    <t>KBM-60S01-A (240 V)</t>
  </si>
  <si>
    <t>KBM-60S02-A (240 V)</t>
  </si>
  <si>
    <t>KBM-60S03-A (240 V)</t>
  </si>
  <si>
    <t>KBM-88H01-A (400 V)</t>
  </si>
  <si>
    <t>KBM-88H01-A (480 V)</t>
  </si>
  <si>
    <t>KBM-88H01-B (400 V)</t>
  </si>
  <si>
    <t>KBM-88H01-B (480 V)</t>
  </si>
  <si>
    <t>KBM-88H02-A (400 V)</t>
  </si>
  <si>
    <t>KBM-88H02-A (480 V)</t>
  </si>
  <si>
    <t>KBM-88H02-B (400 V)</t>
  </si>
  <si>
    <t>KBM-88H02-B (480 V)</t>
  </si>
  <si>
    <t>KBM-88H03-A (400 V)</t>
  </si>
  <si>
    <t>KBM-88H03-A (480 V)</t>
  </si>
  <si>
    <t>KBM-88H03-B (400 V)</t>
  </si>
  <si>
    <t>KBM-88H03-B (480 V)</t>
  </si>
  <si>
    <t>KBM-88S01-A (240 V)</t>
  </si>
  <si>
    <t>KBM-88S01-B (240 V)</t>
  </si>
  <si>
    <t>KBM-88S02-A (240 V)</t>
  </si>
  <si>
    <t>KBM-88S02-B (240 V)</t>
  </si>
  <si>
    <t>KBM-88S03-A (240 V)</t>
  </si>
  <si>
    <t>KBM-88S03-B (240 V)</t>
  </si>
  <si>
    <t>KBM-163H01-A (400 V)</t>
  </si>
  <si>
    <t>KBM-163H01-A (480 V)</t>
  </si>
  <si>
    <t>KBM-163H02-A (400 V)</t>
  </si>
  <si>
    <t>KBM-163H02-A (480 V)</t>
  </si>
  <si>
    <t>KBM-163H03-A (400 V)</t>
  </si>
  <si>
    <t>KBM-163H03-A (480 V)</t>
  </si>
  <si>
    <t>KBM-163S01-A (240 V)</t>
  </si>
  <si>
    <t>KBM-163S02-A (240 V)</t>
  </si>
  <si>
    <t>KBM-163S03-A (240 V)</t>
  </si>
  <si>
    <t>KBM-260H01-A (400 V)</t>
  </si>
  <si>
    <t>KBM-260H01-A (480 V)</t>
  </si>
  <si>
    <t>KBM-260H02-A (400 V)</t>
  </si>
  <si>
    <t>KBM-260H02-A (480 V)</t>
  </si>
  <si>
    <t>KBM-260H03-A (400 V)</t>
  </si>
  <si>
    <t>KBM-260H03-A (480 V)</t>
  </si>
  <si>
    <t>KBM-260S01-A (240 V)</t>
  </si>
  <si>
    <t>KBM-260S02-A (240 V)</t>
  </si>
  <si>
    <t>KBM-260S03-A (240 V)</t>
  </si>
  <si>
    <t>KBMS-10H01-A (120 V)</t>
  </si>
  <si>
    <t>KBMS-10H01-A (240 V)</t>
  </si>
  <si>
    <t>KBMS-10H01-A (400 V)</t>
  </si>
  <si>
    <t>KBMS-10H01-B (120 V)</t>
  </si>
  <si>
    <t>KBMS-10H01-B (240 V)</t>
  </si>
  <si>
    <t>KBMS-10H01-C (120 V)</t>
  </si>
  <si>
    <t>KBMS-10H01-C (240 V)</t>
  </si>
  <si>
    <t>KBMS-10H02-A (120 V)</t>
  </si>
  <si>
    <t>KBMS-10H02-A (240 V)</t>
  </si>
  <si>
    <t>KBMS-10H02-A (400 V)</t>
  </si>
  <si>
    <t>KBMS-10H02-A (480 V)</t>
  </si>
  <si>
    <t>KBMS-10H02-B (120 V)</t>
  </si>
  <si>
    <t>KBMS-10H02-B (240 V)</t>
  </si>
  <si>
    <t>KBMS-10H02-B (400 V)</t>
  </si>
  <si>
    <t>KBMS-10H02-C (120 V)</t>
  </si>
  <si>
    <t>KBMS-10H02-C (240 V)</t>
  </si>
  <si>
    <t>KBMS-10H03-A (120 V)</t>
  </si>
  <si>
    <t>KBMS-10H03-A (240 V)</t>
  </si>
  <si>
    <t>KBMS-10H03-A (400 V)</t>
  </si>
  <si>
    <t>KBMS-10H03-A (480 V)</t>
  </si>
  <si>
    <t>KBMS-10H03-B (120 V)</t>
  </si>
  <si>
    <t>KBMS-10H03-B (240 V)</t>
  </si>
  <si>
    <t>KBMS-10H03-B (400 V)</t>
  </si>
  <si>
    <t>KBMS-10H03-B (480 V)</t>
  </si>
  <si>
    <t>KBMS-10H03-C (120 V)</t>
  </si>
  <si>
    <t>KBMS-10H03-C (240 V)</t>
  </si>
  <si>
    <t>KBMS-10H03-C (400 V)</t>
  </si>
  <si>
    <t>KBMS-10H03-D (120 V)</t>
  </si>
  <si>
    <t>KBMS-10H03-D (240 V)</t>
  </si>
  <si>
    <t>KBMS-10H04-A (120 V)</t>
  </si>
  <si>
    <t>KBMS-10H04-A (240 V)</t>
  </si>
  <si>
    <t>KBMS-10H04-A (400 V)</t>
  </si>
  <si>
    <t>KBMS-10H04-A (480 V)</t>
  </si>
  <si>
    <t>KBMS-10H04-B (120 V)</t>
  </si>
  <si>
    <t>KBMS-10H04-B (240 V)</t>
  </si>
  <si>
    <t>KBMS-10H04-B (400 V)</t>
  </si>
  <si>
    <t>KBMS-10H04-B (480 V)</t>
  </si>
  <si>
    <t>KBMS-10H04-C (120 V)</t>
  </si>
  <si>
    <t>KBMS-10H04-C (240 V)</t>
  </si>
  <si>
    <t>KBMS-10H04-C (400 V)</t>
  </si>
  <si>
    <t>KBMS-10H04-D (120 V)</t>
  </si>
  <si>
    <t>KBMS-10H04-D (240 V)</t>
  </si>
  <si>
    <t>KBMS-14H01-A (120 V)</t>
  </si>
  <si>
    <t>KBMS-14H01-A (240 V)</t>
  </si>
  <si>
    <t>KBMS-14H01-A (400 V)</t>
  </si>
  <si>
    <t>KBMS-14H01-A (480 V)</t>
  </si>
  <si>
    <t>KBMS-14H01-B (120 V)</t>
  </si>
  <si>
    <t>KBMS-14H01-B (240 V)</t>
  </si>
  <si>
    <t>KBMS-14H01-B (400 V)</t>
  </si>
  <si>
    <t>KBMS-14H01-C (120 V)</t>
  </si>
  <si>
    <t>KBMS-14H01-C (240 V)</t>
  </si>
  <si>
    <t>KBMS-14H02-A (120 V)</t>
  </si>
  <si>
    <t>KBMS-14H02-A (240 V)</t>
  </si>
  <si>
    <t>KBMS-14H02-A (400 V)</t>
  </si>
  <si>
    <t>KBMS-14H02-A (480 V)</t>
  </si>
  <si>
    <t>KBMS-14H02-B (120 V)</t>
  </si>
  <si>
    <t>KBMS-14H02-B (240 V)</t>
  </si>
  <si>
    <t>KBMS-14H02-B (400 V)</t>
  </si>
  <si>
    <t>KBMS-14H02-B (480 V)</t>
  </si>
  <si>
    <t>KBMS-14H02-C (120 V)</t>
  </si>
  <si>
    <t>KBMS-14H02-C (240 V)</t>
  </si>
  <si>
    <t>KBMS-14H02-C (400 V)</t>
  </si>
  <si>
    <t>KBMS-14H02-C (480 V)</t>
  </si>
  <si>
    <t>KBMS-14H02-D (120 V)</t>
  </si>
  <si>
    <t>KBMS-14H02-D (240 V)</t>
  </si>
  <si>
    <t>KBMS-14H03-A (120 V)</t>
  </si>
  <si>
    <t>KBMS-14H03-A (240 V)</t>
  </si>
  <si>
    <t>KBMS-14H03-A (400 V)</t>
  </si>
  <si>
    <t>KBMS-14H03-A (480 V)</t>
  </si>
  <si>
    <t>KBMS-14H03-B (120 V)</t>
  </si>
  <si>
    <t>KBMS-14H03-B (240 V)</t>
  </si>
  <si>
    <t>KBMS-14H03-B (400 V)</t>
  </si>
  <si>
    <t>KBMS-14H03-B (480 V)</t>
  </si>
  <si>
    <t>KBMS-14H03-C (120 V)</t>
  </si>
  <si>
    <t>KBMS-14H03-C (240 V)</t>
  </si>
  <si>
    <t>KBMS-17H01-A (120 V)</t>
  </si>
  <si>
    <t>KBMS-17H01-A (240 V)</t>
  </si>
  <si>
    <t>KBMS-17H01-A (400 V)</t>
  </si>
  <si>
    <t>KBMS-17H01-A (480 V)</t>
  </si>
  <si>
    <t>KBMS-17H01-B (120 V)</t>
  </si>
  <si>
    <t>KBMS-17H01-B (240 V)</t>
  </si>
  <si>
    <t>KBMS-17H01-B (400 V)</t>
  </si>
  <si>
    <t>KBMS-17H01-B (480 V)</t>
  </si>
  <si>
    <t>KBMS-17H01-C (120 V)</t>
  </si>
  <si>
    <t>KBMS-17H01-C (240 V)</t>
  </si>
  <si>
    <t>KBMS-17H02-A (120 V)</t>
  </si>
  <si>
    <t>KBMS-17H02-A (240 V)</t>
  </si>
  <si>
    <t>KBMS-17H02-A (400 V)</t>
  </si>
  <si>
    <t>KBMS-17H02-A (480 V)</t>
  </si>
  <si>
    <t>KBMS-17H02-B (120 V)</t>
  </si>
  <si>
    <t>KBMS-17H02-B (240 V)</t>
  </si>
  <si>
    <t>KBMS-17H02-B (400 V)</t>
  </si>
  <si>
    <t>KBMS-17H02-B (480 V)</t>
  </si>
  <si>
    <t>KBMS-17H02-C (120 V)</t>
  </si>
  <si>
    <t>KBMS-17H02-C (240 V)</t>
  </si>
  <si>
    <t>KBMS-17H02-C (400 V)</t>
  </si>
  <si>
    <t>KBMS-17H02-D (120 V)</t>
  </si>
  <si>
    <t>KBMS-17H02-D (240 V)</t>
  </si>
  <si>
    <t>KBMS-17H02-E (120 V)</t>
  </si>
  <si>
    <t>KBMS-17H02-E (240 V)</t>
  </si>
  <si>
    <t>KBMS-17H03-A (120 V)</t>
  </si>
  <si>
    <t>KBMS-17H03-A (240 V)</t>
  </si>
  <si>
    <t>KBMS-17H03-A (400 V)</t>
  </si>
  <si>
    <t>KBMS-17H03-A (480 V)</t>
  </si>
  <si>
    <t>KBMS-17H03-B (120 V)</t>
  </si>
  <si>
    <t>KBMS-17H03-B (240 V)</t>
  </si>
  <si>
    <t>KBMS-17H03-B (400 V)</t>
  </si>
  <si>
    <t>KBMS-17H03-C (120 V)</t>
  </si>
  <si>
    <t>KBMS-17H03-C (240 V)</t>
  </si>
  <si>
    <t>KBMS-17H03-C (400 V)</t>
  </si>
  <si>
    <t>KBMS-17H03-D (120 V)</t>
  </si>
  <si>
    <t>KBMS-17H03-D (240 V)</t>
  </si>
  <si>
    <t>KBMS-17H04-A (120 V)</t>
  </si>
  <si>
    <t>KBMS-17H04-A (240 V)</t>
  </si>
  <si>
    <t>KBMS-17H04-A (400 V)</t>
  </si>
  <si>
    <t>KBMS-17H04-A (480 V)</t>
  </si>
  <si>
    <t>KBMS-17H04-B (120 V)</t>
  </si>
  <si>
    <t>KBMS-17H04-B (240 V)</t>
  </si>
  <si>
    <t>KBMS-17H04-B (400 V)</t>
  </si>
  <si>
    <t>KBMS-17H04-B (480 V)</t>
  </si>
  <si>
    <t>KBMS-17H04-C (120 V)</t>
  </si>
  <si>
    <t>KBMS-17H04-C (240 V)</t>
  </si>
  <si>
    <t>KBMS-17H04-C (400 V)</t>
  </si>
  <si>
    <t>KBMS-17H04-D (120 V)</t>
  </si>
  <si>
    <t>KBMS-17H04-D (240 V)</t>
  </si>
  <si>
    <t>KBMS-25H01-A (120 V)</t>
  </si>
  <si>
    <t>KBMS-25H01-A (240 V)</t>
  </si>
  <si>
    <t>KBMS-25H01-A (400 V)</t>
  </si>
  <si>
    <t>KBMS-25H01-A (480 V)</t>
  </si>
  <si>
    <t>KBMS-25H01-B (120 V)</t>
  </si>
  <si>
    <t>KBMS-25H01-B (240 V)</t>
  </si>
  <si>
    <t>KBMS-25H01-B (400 V)</t>
  </si>
  <si>
    <t>KBMS-25H01-C (120 V)</t>
  </si>
  <si>
    <t>KBMS-25H01-C (240 V)</t>
  </si>
  <si>
    <t>KBMS-25H01-D (120 V)</t>
  </si>
  <si>
    <t>KBMS-25H01-D (240 V)</t>
  </si>
  <si>
    <t>KBMS-25H01-E (120 V)</t>
  </si>
  <si>
    <t>KBMS-25H01-E (240 V)</t>
  </si>
  <si>
    <t>KBMS-25H01-F (120 V)</t>
  </si>
  <si>
    <t>KBMS-25H02-A (120 V)</t>
  </si>
  <si>
    <t>KBMS-25H02-A (240 V)</t>
  </si>
  <si>
    <t>KBMS-25H02-A (400 V)</t>
  </si>
  <si>
    <t>KBMS-25H02-A (480 V)</t>
  </si>
  <si>
    <t>KBMS-25H02-B (120 V)</t>
  </si>
  <si>
    <t>KBMS-25H02-B (240 V)</t>
  </si>
  <si>
    <t>KBMS-25H02-B (400 V)</t>
  </si>
  <si>
    <t>KBMS-25H02-B (480 V)</t>
  </si>
  <si>
    <t>KBMS-25H02-C (120 V)</t>
  </si>
  <si>
    <t>KBMS-25H02-C (240 V)</t>
  </si>
  <si>
    <t>KBMS-25H02-C (400 V)</t>
  </si>
  <si>
    <t>KBMS-25H02-C (480 V)</t>
  </si>
  <si>
    <t>KBMS-25H02-D (120 V)</t>
  </si>
  <si>
    <t>KBMS-25H02-D (240 V)</t>
  </si>
  <si>
    <t>KBMS-25H02-D (400 V)</t>
  </si>
  <si>
    <t>KBMS-25H02-D (480 V)</t>
  </si>
  <si>
    <t>KBMS-25H02-E (120 V)</t>
  </si>
  <si>
    <t>KBMS-25H02-E (240 V)</t>
  </si>
  <si>
    <t>KBMS-25H02-E (400 V)</t>
  </si>
  <si>
    <t>KBMS-25H02-F (120 V)</t>
  </si>
  <si>
    <t>KBMS-25H02-F (240 V)</t>
  </si>
  <si>
    <t>KBMS-25H02-G (120 V)</t>
  </si>
  <si>
    <t>KBMS-25H02-G (240 V)</t>
  </si>
  <si>
    <t>KBMS-25H03-A (120 V)</t>
  </si>
  <si>
    <t>KBMS-25H03-A (240 V)</t>
  </si>
  <si>
    <t>KBMS-25H03-A (400 V)</t>
  </si>
  <si>
    <t>KBMS-25H03-A (480 V)</t>
  </si>
  <si>
    <t>KBMS-25H03-B (120 V)</t>
  </si>
  <si>
    <t>KBMS-25H03-B (240 V)</t>
  </si>
  <si>
    <t>KBMS-25H03-B (400 V)</t>
  </si>
  <si>
    <t>KBMS-25H03-B (480 V)</t>
  </si>
  <si>
    <t>KBMS-25H03-C (120 V)</t>
  </si>
  <si>
    <t>KBMS-25H03-C (240 V)</t>
  </si>
  <si>
    <t>KBMS-25H03-C (400 V)</t>
  </si>
  <si>
    <t>KBMS-25H03-C (480 V)</t>
  </si>
  <si>
    <t>KBMS-25H03-D (120 V)</t>
  </si>
  <si>
    <t>KBMS-25H03-D (240 V)</t>
  </si>
  <si>
    <t>KBMS-25H03-D (400 V)</t>
  </si>
  <si>
    <t>KBMS-25H03-E (120 V)</t>
  </si>
  <si>
    <t>KBMS-25H03-E (240 V)</t>
  </si>
  <si>
    <t>KBMS-25H03-F (120 V)</t>
  </si>
  <si>
    <t>KBMS-25H03-F (240 V)</t>
  </si>
  <si>
    <t>KBMS-25H03-G (120 V)</t>
  </si>
  <si>
    <t>KBMS-25H03-G (240 V)</t>
  </si>
  <si>
    <t>KBMS-25H03-H (120 V)</t>
  </si>
  <si>
    <t>KBMS-25H03-H (240 V)</t>
  </si>
  <si>
    <t>KBMS-25H04-A (120 V)</t>
  </si>
  <si>
    <t>KBMS-25H04-A (240 V)</t>
  </si>
  <si>
    <t>KBMS-25H04-A (400 V)</t>
  </si>
  <si>
    <t>KBMS-25H04-A (480 V)</t>
  </si>
  <si>
    <t>KBMS-25H04-B (120 V)</t>
  </si>
  <si>
    <t>KBMS-25H04-B (240 V)</t>
  </si>
  <si>
    <t>KBMS-25H04-B (400 V)</t>
  </si>
  <si>
    <t>KBMS-25H04-B (480 V)</t>
  </si>
  <si>
    <t>KBMS-25H04-C (120 V)</t>
  </si>
  <si>
    <t>KBMS-25H04-C (240 V)</t>
  </si>
  <si>
    <t>KBMS-25H04-C (400 V)</t>
  </si>
  <si>
    <t>KBMS-25H04-C (480 V)</t>
  </si>
  <si>
    <t>KBMS-25H04-D (120 V)</t>
  </si>
  <si>
    <t>KBMS-25H04-D (240 V)</t>
  </si>
  <si>
    <t>KBMS-25H04-D (400 V)</t>
  </si>
  <si>
    <t>KBMS-25H04-D (480 V)</t>
  </si>
  <si>
    <t>KBMS-25H04-E (120 V)</t>
  </si>
  <si>
    <t>KBMS-25H04-E (240 V)</t>
  </si>
  <si>
    <t>KBMS-25H04-E (400 V)</t>
  </si>
  <si>
    <t>KBMS-25H04-F (120 V)</t>
  </si>
  <si>
    <t>KBMS-25H04-F (240 V)</t>
  </si>
  <si>
    <t>KBMS-25H04-G (120 V)</t>
  </si>
  <si>
    <t>KBMS-25H04-G (240 V)</t>
  </si>
  <si>
    <t>KBMS-35H01-A (120 V)</t>
  </si>
  <si>
    <t>KBMS-35H01-A (240 V)</t>
  </si>
  <si>
    <t>KBMS-35H01-A (400 V)</t>
  </si>
  <si>
    <t>KBMS-35H01-A (480 V)</t>
  </si>
  <si>
    <t>KBMS-35H01-B (120 V)</t>
  </si>
  <si>
    <t>KBMS-35H01-B (240 V)</t>
  </si>
  <si>
    <t>KBMS-35H01-B (400 V)</t>
  </si>
  <si>
    <t>KBMS-35H01-B (480 V)</t>
  </si>
  <si>
    <t>KBMS-35H01-C (120 V)</t>
  </si>
  <si>
    <t>KBMS-35H01-C (240 V)</t>
  </si>
  <si>
    <t>KBMS-35H01-C (400 V)</t>
  </si>
  <si>
    <t>KBMS-35H01-C (480 V)</t>
  </si>
  <si>
    <t>KBMS-35H01-D (120 V)</t>
  </si>
  <si>
    <t>KBMS-35H01-D (240 V)</t>
  </si>
  <si>
    <t>KBMS-35H01-D (400 V)</t>
  </si>
  <si>
    <t>KBMS-35H01-D (480 V)</t>
  </si>
  <si>
    <t>KBMS-35H01-E (120 V)</t>
  </si>
  <si>
    <t>KBMS-35H01-E (240 V)</t>
  </si>
  <si>
    <t>KBMS-35H01-E (400 V)</t>
  </si>
  <si>
    <t>KBMS-35H01-F (120 V)</t>
  </si>
  <si>
    <t>KBMS-35H01-F (240 V)</t>
  </si>
  <si>
    <t>KBMS-35H01-F (400 V)</t>
  </si>
  <si>
    <t>KBMS-35H01-G (120 V)</t>
  </si>
  <si>
    <t>KBMS-35H01-G (240 V)</t>
  </si>
  <si>
    <t>KBMS-35H01-H (120 V)</t>
  </si>
  <si>
    <t>KBMS-35H01-H (240 V)</t>
  </si>
  <si>
    <t>KBMS-35H02-A (120 V)</t>
  </si>
  <si>
    <t>KBMS-35H02-A (240 V)</t>
  </si>
  <si>
    <t>KBMS-35H02-A (400 V)</t>
  </si>
  <si>
    <t>KBMS-35H02-A (480 V)</t>
  </si>
  <si>
    <t>KBMS-35H02-B (120 V)</t>
  </si>
  <si>
    <t>KBMS-35H02-B (240 V)</t>
  </si>
  <si>
    <t>KBMS-35H02-B (400 V)</t>
  </si>
  <si>
    <t>KBMS-35H02-B (480 V)</t>
  </si>
  <si>
    <t>KBMS-35H02-C (120 V)</t>
  </si>
  <si>
    <t>KBMS-35H02-C (240 V)</t>
  </si>
  <si>
    <t>KBMS-35H02-C (400 V)</t>
  </si>
  <si>
    <t>KBMS-35H02-C (480 V)</t>
  </si>
  <si>
    <t>KBMS-35H02-D (120 V)</t>
  </si>
  <si>
    <t>KBMS-35H02-D (240 V)</t>
  </si>
  <si>
    <t>KBMS-35H02-D (400 V)</t>
  </si>
  <si>
    <t>KBMS-35H02-D (480 V)</t>
  </si>
  <si>
    <t>KBMS-35H02-E (120 V)</t>
  </si>
  <si>
    <t>KBMS-35H02-E (240 V)</t>
  </si>
  <si>
    <t>KBMS-35H02-E (400 V)</t>
  </si>
  <si>
    <t>KBMS-35H02-E (480 V)</t>
  </si>
  <si>
    <t>KBMS-35H02-F (120 V)</t>
  </si>
  <si>
    <t>KBMS-35H02-F (240 V)</t>
  </si>
  <si>
    <t>KBMS-35H02-F (400 V)</t>
  </si>
  <si>
    <t>KBMS-35H02-F (480 V)</t>
  </si>
  <si>
    <t>KBMS-35H02-G (120 V)</t>
  </si>
  <si>
    <t>KBMS-35H02-G (240 V)</t>
  </si>
  <si>
    <t>KBMS-35H02-G (400 V)</t>
  </si>
  <si>
    <t>KBMS-35H03-A (120 V)</t>
  </si>
  <si>
    <t>KBMS-35H03-A (240 V)</t>
  </si>
  <si>
    <t>KBMS-35H03-A (400 V)</t>
  </si>
  <si>
    <t>KBMS-35H03-A (480 V)</t>
  </si>
  <si>
    <t>KBMS-35H03-B (120 V)</t>
  </si>
  <si>
    <t>KBMS-35H03-B (240 V)</t>
  </si>
  <si>
    <t>KBMS-35H03-B (400 V)</t>
  </si>
  <si>
    <t>KBMS-35H03-B (480 V)</t>
  </si>
  <si>
    <t>KBMS-35H03-C (120 V)</t>
  </si>
  <si>
    <t>KBMS-35H03-C (240 V)</t>
  </si>
  <si>
    <t>KBMS-35H03-C (400 V)</t>
  </si>
  <si>
    <t>KBMS-35H03-D (120 V)</t>
  </si>
  <si>
    <t>KBMS-35H03-D (240 V)</t>
  </si>
  <si>
    <t>KBMS-35H04-A (120 V)</t>
  </si>
  <si>
    <t>KBMS-35H04-A (240 V)</t>
  </si>
  <si>
    <t>KBMS-35H04-A (400 V)</t>
  </si>
  <si>
    <t>KBMS-35H04-A (480 V)</t>
  </si>
  <si>
    <t>KBMS-35H04-B (120 V)</t>
  </si>
  <si>
    <t>KBMS-35H04-B (240 V)</t>
  </si>
  <si>
    <t>KBMS-35H04-B (400 V)</t>
  </si>
  <si>
    <t>KBMS-35H04-B (480 V)</t>
  </si>
  <si>
    <t>KBMS-35H04-C (120 V)</t>
  </si>
  <si>
    <t>KBMS-35H04-C (240 V)</t>
  </si>
  <si>
    <t>KBMS-35H04-C (400 V)</t>
  </si>
  <si>
    <t>KBMS-35H04-C (480 V)</t>
  </si>
  <si>
    <t>KBMS-35H04-D (120 V)</t>
  </si>
  <si>
    <t>KBMS-35H04-D (240 V)</t>
  </si>
  <si>
    <t>KBMS-35H04-D (400 V)</t>
  </si>
  <si>
    <t>KBMS-35H04-E (120 V)</t>
  </si>
  <si>
    <t>KBMS-35H04-E (240 V)</t>
  </si>
  <si>
    <t>KBMS-35H04-E (400 V)</t>
  </si>
  <si>
    <t>KBMS-45H01-A (120 V)</t>
  </si>
  <si>
    <t>KBMS-45H01-A (240 V)</t>
  </si>
  <si>
    <t>KBMS-45H01-A (400 V)</t>
  </si>
  <si>
    <t>KBMS-45H01-A (480 V)</t>
  </si>
  <si>
    <t>KBMS-45H01-B (120 V)</t>
  </si>
  <si>
    <t>KBMS-45H01-B (240 V)</t>
  </si>
  <si>
    <t>KBMS-45H01-B (400 V)</t>
  </si>
  <si>
    <t>KBMS-45H01-B (480 V)</t>
  </si>
  <si>
    <t>KBMS-45H01-C (120 V)</t>
  </si>
  <si>
    <t>KBMS-45H01-C (240 V)</t>
  </si>
  <si>
    <t>KBMS-45H01-C (400 V)</t>
  </si>
  <si>
    <t>KBMS-45H01-C (480 V)</t>
  </si>
  <si>
    <t>KBMS-45H01-D (120 V)</t>
  </si>
  <si>
    <t>KBMS-45H01-D (240 V)</t>
  </si>
  <si>
    <t>KBMS-45H01-D (400 V)</t>
  </si>
  <si>
    <t>KBMS-45H01-E (120 V)</t>
  </si>
  <si>
    <t>KBMS-45H01-E (240 V)</t>
  </si>
  <si>
    <t>KBMS-45H02-A (120 V)</t>
  </si>
  <si>
    <t>KBMS-45H02-A (240 V)</t>
  </si>
  <si>
    <t>KBMS-45H02-A (400 V)</t>
  </si>
  <si>
    <t>KBMS-45H02-A (480 V)</t>
  </si>
  <si>
    <t>KBMS-45H02-B (120 V)</t>
  </si>
  <si>
    <t>KBMS-45H02-B (240 V)</t>
  </si>
  <si>
    <t>KBMS-45H02-B (400 V)</t>
  </si>
  <si>
    <t>KBMS-45H02-B (480 V)</t>
  </si>
  <si>
    <t>KBMS-45H02-C (120 V)</t>
  </si>
  <si>
    <t>KBMS-45H02-C (240 V)</t>
  </si>
  <si>
    <t>KBMS-45H02-C (400 V)</t>
  </si>
  <si>
    <t>KBMS-45H02-C (480 V)</t>
  </si>
  <si>
    <t>KBMS-45H03-A (120 V)</t>
  </si>
  <si>
    <t>KBMS-45H03-A (240 V)</t>
  </si>
  <si>
    <t>KBMS-45H03-A (400 V)</t>
  </si>
  <si>
    <t>KBMS-45H03-A (480 V)</t>
  </si>
  <si>
    <t>KBMS-45H03-B (120 V)</t>
  </si>
  <si>
    <t>KBMS-45H03-B (240 V)</t>
  </si>
  <si>
    <t>KBMS-45H03-B (400 V)</t>
  </si>
  <si>
    <t>KBMS-45H03-B (480 V)</t>
  </si>
  <si>
    <t>KBMS-43H01-A (400 V)</t>
  </si>
  <si>
    <t>KBMS-43H02-A (400 V)</t>
  </si>
  <si>
    <t>KBMS-43H02-A (480 V)</t>
  </si>
  <si>
    <t>KBMS-43H03-A (400 V)</t>
  </si>
  <si>
    <t>KBMS-43H03-A (480 V)</t>
  </si>
  <si>
    <t>KBMS-43S01-A (240 V)</t>
  </si>
  <si>
    <t>KBMS-43S02-A (240 V)</t>
  </si>
  <si>
    <t>KBMS-43S03-A (240 V)</t>
  </si>
  <si>
    <t>KBMS-57H01-A (400 V)</t>
  </si>
  <si>
    <t>KBMS-57H01-A (480 V)</t>
  </si>
  <si>
    <t>KBMS-57H02-A (400 V)</t>
  </si>
  <si>
    <t>KBMS-57H02-A (480 V)</t>
  </si>
  <si>
    <t>KBMS-57H03-A (400 V)</t>
  </si>
  <si>
    <t>KBMS-57H03-A (480 V)</t>
  </si>
  <si>
    <t>KBMS-57S01-A (240 V)</t>
  </si>
  <si>
    <t>KBMS-57S02-A (240 V)</t>
  </si>
  <si>
    <t>KBMS-57S03-A (240 V)</t>
  </si>
  <si>
    <t>KBMS-79H01-A (400 V)</t>
  </si>
  <si>
    <t>KBMS-79H01-A (480 V)</t>
  </si>
  <si>
    <t>KBMS-79H02-A (400 V)</t>
  </si>
  <si>
    <t>KBMS-79H02-A (480 V)</t>
  </si>
  <si>
    <t>KBMS-79H03-A (400 V)</t>
  </si>
  <si>
    <t>KBMS-79H03-A (480 V)</t>
  </si>
  <si>
    <t>KBMS-79S01-A (240 V)</t>
  </si>
  <si>
    <t>KBMS-79S02-A (240 V)</t>
  </si>
  <si>
    <t>KBMS-79S03-A (240 V)</t>
  </si>
  <si>
    <t>KBMS-118H01-A (400 V)</t>
  </si>
  <si>
    <t>KBMS-118H02-A (400 V)</t>
  </si>
  <si>
    <t>KBMS-118H02-A (480 V)</t>
  </si>
  <si>
    <t>KBMS-118H03-A (400 V)</t>
  </si>
  <si>
    <t>KBMS-118H03-A (480 V)</t>
  </si>
  <si>
    <t>KBMS-118H04-A (400 V)</t>
  </si>
  <si>
    <t>KBMS-118H04-A (480 V)</t>
  </si>
  <si>
    <t>KBMS-118S01-A (240 V)</t>
  </si>
  <si>
    <t>KBMS-118S02-A (240 V)</t>
  </si>
  <si>
    <t>KBMS-118S03-A (240 V)</t>
  </si>
  <si>
    <t>KBMS-118S04-A (240 V)</t>
  </si>
  <si>
    <t>KBMS-60H01-A (400 V)</t>
  </si>
  <si>
    <t>KBMS-60H01-A (480 V)</t>
  </si>
  <si>
    <t>KBMS-60H02-A (400 V)</t>
  </si>
  <si>
    <t>KBMS-60H02-A (480 V)</t>
  </si>
  <si>
    <t>KBMS-60H03-A (400 V)</t>
  </si>
  <si>
    <t>KBMS-60H03-A (480 V)</t>
  </si>
  <si>
    <t>KBMS-60S01-A (240 V)</t>
  </si>
  <si>
    <t>KBMS-60S02-A (240 V)</t>
  </si>
  <si>
    <t>KBMS-60S03-A (240 V)</t>
  </si>
  <si>
    <t>KBMS-88H01-A (400 V)</t>
  </si>
  <si>
    <t>KBMS-88H01-A (480 V)</t>
  </si>
  <si>
    <t>KBMS-88H01-B (400 V)</t>
  </si>
  <si>
    <t>KBMS-88H01-B (480 V)</t>
  </si>
  <si>
    <t>KBMS-88H02-A (400 V)</t>
  </si>
  <si>
    <t>KBMS-88H02-A (480 V)</t>
  </si>
  <si>
    <t>KBMS-88H02-B (400 V)</t>
  </si>
  <si>
    <t>KBMS-88H02-B (480 V)</t>
  </si>
  <si>
    <t>KBMS-88H03-A (400 V)</t>
  </si>
  <si>
    <t>KBMS-88H03-A (480 V)</t>
  </si>
  <si>
    <t>KBMS-88H03-B (400 V)</t>
  </si>
  <si>
    <t>KBMS-88H03-B (480 V)</t>
  </si>
  <si>
    <t>KBMS-88S01-A (240 V)</t>
  </si>
  <si>
    <t>KBMS-88S01-B (240 V)</t>
  </si>
  <si>
    <t>KBMS-88S02-A (240 V)</t>
  </si>
  <si>
    <t>KBMS-88S02-B (240 V)</t>
  </si>
  <si>
    <t>KBMS-88S03-A (240 V)</t>
  </si>
  <si>
    <t>KBMS-88S03-B (240 V)</t>
  </si>
  <si>
    <t>KBMS-163H01-A (400 V)</t>
  </si>
  <si>
    <t>KBMS-163H01-A (480 V)</t>
  </si>
  <si>
    <t>KBMS-163H02-A (400 V)</t>
  </si>
  <si>
    <t>KBMS-163H02-A (480 V)</t>
  </si>
  <si>
    <t>KBMS-163H03-A (400 V)</t>
  </si>
  <si>
    <t>KBMS-163H03-A (480 V)</t>
  </si>
  <si>
    <t>KBMS-163S01-A (240 V)</t>
  </si>
  <si>
    <t>KBMS-163S02-A (240 V)</t>
  </si>
  <si>
    <t>KBMS-163S03-A (240 V)</t>
  </si>
  <si>
    <t>KBMS-260H01-A (400 V)</t>
  </si>
  <si>
    <t>KBMS-260H01-A (480 V)</t>
  </si>
  <si>
    <t>KBMS-260H02-A (400 V)</t>
  </si>
  <si>
    <t>KBMS-260H02-A (480 V)</t>
  </si>
  <si>
    <t>KBMS-260H03-A (400 V)</t>
  </si>
  <si>
    <t>KBMS-260H03-A (480 V)</t>
  </si>
  <si>
    <t>KBMS-260S01-A (240 V)</t>
  </si>
  <si>
    <t>KBMS-260S02-A (240 V)</t>
  </si>
  <si>
    <t>KBMS-260S03-A (240 V)</t>
  </si>
  <si>
    <t>AKMH21C</t>
  </si>
  <si>
    <t>AKMH22C</t>
  </si>
  <si>
    <t>AKMH22E</t>
  </si>
  <si>
    <t>AKMH23D</t>
  </si>
  <si>
    <t>AKMH23E</t>
  </si>
  <si>
    <t>AKMH23F</t>
  </si>
  <si>
    <t>AKMH24D</t>
  </si>
  <si>
    <t>AKMH24E</t>
  </si>
  <si>
    <t>AKMH24F</t>
  </si>
  <si>
    <t>AKMH31C</t>
  </si>
  <si>
    <t>AKMH31E</t>
  </si>
  <si>
    <t>AKMH31H</t>
  </si>
  <si>
    <t>AKMH32C</t>
  </si>
  <si>
    <t>AKMH32E</t>
  </si>
  <si>
    <t>AKMH32H</t>
  </si>
  <si>
    <t>AKMH33C</t>
  </si>
  <si>
    <t>AKMH33E</t>
  </si>
  <si>
    <t>AKMH33H</t>
  </si>
  <si>
    <t>AKMH41C</t>
  </si>
  <si>
    <t>AKMH41E</t>
  </si>
  <si>
    <t>AKMH41H</t>
  </si>
  <si>
    <t>AKMH42C</t>
  </si>
  <si>
    <t>AKMH42E</t>
  </si>
  <si>
    <t>AKMH42H</t>
  </si>
  <si>
    <t>AKMH42J</t>
  </si>
  <si>
    <t>AKMH43E</t>
  </si>
  <si>
    <t>AKMH43H</t>
  </si>
  <si>
    <t>AKMH43L</t>
  </si>
  <si>
    <t>AKMH44E</t>
  </si>
  <si>
    <t>AKMH44H</t>
  </si>
  <si>
    <t>AKMH44K</t>
  </si>
  <si>
    <t>AKMH51E</t>
  </si>
  <si>
    <t>AKMH51H</t>
  </si>
  <si>
    <t>AKMH51L</t>
  </si>
  <si>
    <t>AKMH52E</t>
  </si>
  <si>
    <t>AKMH52H</t>
  </si>
  <si>
    <t>AKMH52L</t>
  </si>
  <si>
    <t>AKMH52M</t>
  </si>
  <si>
    <t>AKMH53H</t>
  </si>
  <si>
    <t>AKMH53L</t>
  </si>
  <si>
    <t>AKMH53P</t>
  </si>
  <si>
    <t>AKMH54H</t>
  </si>
  <si>
    <t>AKMH54L</t>
  </si>
  <si>
    <t>AKMH54P</t>
  </si>
  <si>
    <t>AKMH62H</t>
  </si>
  <si>
    <t>AKMH62L</t>
  </si>
  <si>
    <t>AKMH62M</t>
  </si>
  <si>
    <t>AKMH63H</t>
  </si>
  <si>
    <t>AKMH63L</t>
  </si>
  <si>
    <t>AKMH63M</t>
  </si>
  <si>
    <t>AKMH64K</t>
  </si>
  <si>
    <t>AKMH64L</t>
  </si>
  <si>
    <t>AKMH65K</t>
  </si>
  <si>
    <t>AKMH65L</t>
  </si>
  <si>
    <t>AKMH65M</t>
  </si>
  <si>
    <t>VLM21C</t>
  </si>
  <si>
    <t>VLM21E</t>
  </si>
  <si>
    <t>VLM22C</t>
  </si>
  <si>
    <t>VLM22E</t>
  </si>
  <si>
    <t>VLM23D</t>
  </si>
  <si>
    <t>VLM23G</t>
  </si>
  <si>
    <t>VLM31E</t>
  </si>
  <si>
    <t>VLM31H</t>
  </si>
  <si>
    <t>VLM32H</t>
  </si>
  <si>
    <t>VLM32J</t>
  </si>
  <si>
    <t>VLM33J</t>
  </si>
  <si>
    <t>tbd</t>
  </si>
  <si>
    <t>Motor Nr</t>
  </si>
  <si>
    <t>Drive Nr</t>
  </si>
  <si>
    <t>DC-Voltage</t>
  </si>
  <si>
    <t>2. Motor</t>
  </si>
  <si>
    <t>Drives</t>
  </si>
  <si>
    <t>AC-Voltage</t>
  </si>
  <si>
    <t>Icont</t>
  </si>
  <si>
    <t>Ipeak</t>
  </si>
  <si>
    <t>SFD 
Unterstützung?</t>
  </si>
  <si>
    <t>max.</t>
  </si>
  <si>
    <t>Servostar 303</t>
  </si>
  <si>
    <t>Servostar 306</t>
  </si>
  <si>
    <t>Servostar 310</t>
  </si>
  <si>
    <t>Servostar 341</t>
  </si>
  <si>
    <t>Servostar 343</t>
  </si>
  <si>
    <t>Servostar 346</t>
  </si>
  <si>
    <t>Servostar 403M/A</t>
  </si>
  <si>
    <t>r</t>
  </si>
  <si>
    <t>l</t>
  </si>
  <si>
    <t>ke</t>
  </si>
  <si>
    <t xml:space="preserve">Ipeak </t>
  </si>
  <si>
    <t>poles</t>
  </si>
  <si>
    <t>nmax</t>
  </si>
  <si>
    <t>Mo</t>
  </si>
  <si>
    <t>Io</t>
  </si>
  <si>
    <t>Mpeak</t>
  </si>
  <si>
    <t>Servostar 406M/A</t>
  </si>
  <si>
    <t>Servostar 443M/403A</t>
  </si>
  <si>
    <t>Drive</t>
  </si>
  <si>
    <t>Servostar 446M/406A</t>
  </si>
  <si>
    <t>I peak</t>
  </si>
  <si>
    <t>I rms</t>
  </si>
  <si>
    <t>Servostar 601</t>
  </si>
  <si>
    <t>Servostar 603</t>
  </si>
  <si>
    <t>Servostar 606</t>
  </si>
  <si>
    <t>Servostar 610</t>
  </si>
  <si>
    <t>Servostar 610/30</t>
  </si>
  <si>
    <t>Servostar 614</t>
  </si>
  <si>
    <t>Cyclic duty</t>
  </si>
  <si>
    <t>Servostar 620</t>
  </si>
  <si>
    <t>M</t>
  </si>
  <si>
    <t>n</t>
  </si>
  <si>
    <t>a</t>
  </si>
  <si>
    <t>b</t>
  </si>
  <si>
    <t>c</t>
  </si>
  <si>
    <t>Kt</t>
  </si>
  <si>
    <t>Servostar 640</t>
  </si>
  <si>
    <t>Servostar 670</t>
  </si>
  <si>
    <t>Servostar S20260</t>
  </si>
  <si>
    <t>Servostar S20360</t>
  </si>
  <si>
    <t>Servostar S20330</t>
  </si>
  <si>
    <t>Servostar S20630</t>
  </si>
  <si>
    <t>S 701</t>
  </si>
  <si>
    <t>S 703</t>
  </si>
  <si>
    <t>S 706</t>
  </si>
  <si>
    <t>S 712</t>
  </si>
  <si>
    <t>S 712P</t>
  </si>
  <si>
    <t>S 724</t>
  </si>
  <si>
    <t>S 724P</t>
  </si>
  <si>
    <t>S 748</t>
  </si>
  <si>
    <t>S 772</t>
  </si>
  <si>
    <t>AKD-x00306</t>
  </si>
  <si>
    <t>AKD-x00606</t>
  </si>
  <si>
    <t>AKD-x01206</t>
  </si>
  <si>
    <t>AKD-x02406</t>
  </si>
  <si>
    <t>AKD-x00307</t>
  </si>
  <si>
    <t>AKD-x00607</t>
  </si>
  <si>
    <t>AKD-x01207</t>
  </si>
  <si>
    <t>AKD-x02407</t>
  </si>
  <si>
    <t>other drive</t>
  </si>
  <si>
    <t>5</t>
  </si>
  <si>
    <t>15</t>
  </si>
  <si>
    <t>S 131xx     5A 230V</t>
  </si>
  <si>
    <t>230 V</t>
  </si>
  <si>
    <t>S 132xx   10A 480V</t>
  </si>
  <si>
    <t>S 132xx   15A 480V</t>
  </si>
  <si>
    <t>S 132xx   20A 480V</t>
  </si>
  <si>
    <t>KOLLA OM DET ÄR RÄTT I PC SELECTOR GÄLLANDE hastighet och rpm</t>
  </si>
  <si>
    <t>S1</t>
  </si>
  <si>
    <t xml:space="preserve">M </t>
  </si>
  <si>
    <t>MÅSTE FÅ IN FAKTORN SOM KOMMER FRÅN ACCELERATIONEN!!!</t>
  </si>
  <si>
    <t>ÄNDRA VILLKOR FÖR DRIVE TORQUE CONST SPEED</t>
  </si>
  <si>
    <t>DIRECT DRIVE</t>
  </si>
  <si>
    <t>PC40B20</t>
  </si>
  <si>
    <t>PC40B10</t>
  </si>
  <si>
    <t>PC40B05</t>
  </si>
  <si>
    <t>IdleT</t>
  </si>
  <si>
    <t xml:space="preserve">IdleT </t>
  </si>
  <si>
    <t>Drive T from Load</t>
  </si>
  <si>
    <t>Drive T constant</t>
  </si>
  <si>
    <t>Drive torque</t>
  </si>
  <si>
    <t xml:space="preserve">Drive toque </t>
  </si>
  <si>
    <t>Load</t>
  </si>
  <si>
    <t>RPM</t>
  </si>
  <si>
    <t>NM</t>
  </si>
  <si>
    <t xml:space="preserve">Max speed </t>
  </si>
  <si>
    <t xml:space="preserve">Motor continuous </t>
  </si>
  <si>
    <t>Torque max</t>
  </si>
  <si>
    <t>rpm max</t>
  </si>
  <si>
    <t>Load Fx (N)</t>
  </si>
  <si>
    <t>PC32B10</t>
  </si>
  <si>
    <t>PC32B04</t>
  </si>
  <si>
    <t>PC25B10</t>
  </si>
  <si>
    <t>PC25B03</t>
  </si>
  <si>
    <t>Rated</t>
  </si>
  <si>
    <t>Linearmotor Calculator</t>
  </si>
  <si>
    <r>
      <t>m/s</t>
    </r>
    <r>
      <rPr>
        <sz val="11"/>
        <color theme="1"/>
        <rFont val="Calibri"/>
        <family val="2"/>
        <scheme val="minor"/>
      </rPr>
      <t xml:space="preserve"> in </t>
    </r>
    <r>
      <rPr>
        <b/>
        <sz val="10"/>
        <rFont val="Arial"/>
        <family val="2"/>
      </rPr>
      <t>elek U/min</t>
    </r>
  </si>
  <si>
    <t>Geschwindigkeit [m/s]</t>
  </si>
  <si>
    <t>Polpitch [mm]</t>
  </si>
  <si>
    <t>Umdrehungen [U/min]</t>
  </si>
  <si>
    <t>Ke Umrechner</t>
  </si>
  <si>
    <t>Kt Rechner</t>
  </si>
  <si>
    <t>Ke mV/rpm</t>
  </si>
  <si>
    <t>KE mV/(m/s)</t>
  </si>
  <si>
    <t>Kt Nm/A</t>
  </si>
  <si>
    <t>KE mV/rpm</t>
  </si>
  <si>
    <r>
      <t>Ele U/mi</t>
    </r>
    <r>
      <rPr>
        <sz val="11"/>
        <color theme="1"/>
        <rFont val="Calibri"/>
        <family val="2"/>
        <scheme val="minor"/>
      </rPr>
      <t xml:space="preserve">n in </t>
    </r>
    <r>
      <rPr>
        <b/>
        <sz val="10"/>
        <rFont val="Arial"/>
        <family val="2"/>
      </rPr>
      <t>m/s</t>
    </r>
  </si>
  <si>
    <t>const PA</t>
  </si>
  <si>
    <t>const LX</t>
  </si>
  <si>
    <t xml:space="preserve">Motor </t>
  </si>
  <si>
    <t>capability</t>
  </si>
  <si>
    <t>400VAC</t>
  </si>
  <si>
    <t>Motor to be used</t>
  </si>
  <si>
    <t>Cyclic</t>
  </si>
  <si>
    <t>Fx (N)</t>
  </si>
  <si>
    <t>for 400 VAC</t>
  </si>
  <si>
    <t>Output</t>
  </si>
  <si>
    <t>Max input torque for RediMount</t>
  </si>
  <si>
    <t>AKM24D?</t>
  </si>
  <si>
    <t>400 VAC</t>
  </si>
  <si>
    <t>Motors to be used</t>
  </si>
  <si>
    <t>AKM1 funkar bara med PC25B03, tas bort?</t>
  </si>
  <si>
    <t>Continous drive</t>
  </si>
  <si>
    <t>Output Max Load</t>
  </si>
  <si>
    <t>Motor capacity</t>
  </si>
  <si>
    <t>Idel torque RPM</t>
  </si>
  <si>
    <t>Max output</t>
  </si>
  <si>
    <t>Rpm</t>
  </si>
  <si>
    <t>Continous duty</t>
  </si>
  <si>
    <t>Cyclic Duty</t>
  </si>
  <si>
    <t>const</t>
  </si>
  <si>
    <t>Graph display</t>
  </si>
  <si>
    <t xml:space="preserve">Graph data </t>
  </si>
  <si>
    <t>1:kolla om motor är OK enligt input</t>
  </si>
  <si>
    <t>2: kolla upp vilken enhet som är vald</t>
  </si>
  <si>
    <t>3: plotta speed-force kurvan för detta</t>
  </si>
  <si>
    <t>Current voltage</t>
  </si>
  <si>
    <t>Continuous drive</t>
  </si>
  <si>
    <t>Cyclic drive</t>
  </si>
  <si>
    <t>High torque test</t>
  </si>
  <si>
    <t>Förskjutning</t>
  </si>
  <si>
    <t>1 = high torque</t>
  </si>
  <si>
    <t>Max Load</t>
  </si>
  <si>
    <t>Typical fm factors</t>
  </si>
  <si>
    <t>Calcualate your own specific fm factor below</t>
  </si>
  <si>
    <t>Part of stroke</t>
  </si>
  <si>
    <t>=</t>
  </si>
  <si>
    <t>A: fm=1</t>
  </si>
  <si>
    <t>B: fm=0.8</t>
  </si>
  <si>
    <t>C: fm=0.5</t>
  </si>
  <si>
    <t>D:fm=0,7</t>
  </si>
  <si>
    <t xml:space="preserve">Step 2: </t>
  </si>
  <si>
    <t>Step 3:</t>
  </si>
  <si>
    <r>
      <t>(T</t>
    </r>
    <r>
      <rPr>
        <b/>
        <sz val="6"/>
        <color theme="1"/>
        <rFont val="Calibri"/>
        <family val="2"/>
        <scheme val="minor"/>
      </rPr>
      <t>RMS</t>
    </r>
    <r>
      <rPr>
        <b/>
        <sz val="9"/>
        <color theme="1"/>
        <rFont val="Calibri"/>
        <family val="2"/>
        <scheme val="minor"/>
      </rPr>
      <t>)</t>
    </r>
  </si>
  <si>
    <t>Example of fm factor</t>
  </si>
  <si>
    <t>RediMount ID**</t>
  </si>
  <si>
    <t>R-Resolver (standard)</t>
  </si>
  <si>
    <t>Fm factors</t>
  </si>
  <si>
    <t>fm factors</t>
  </si>
  <si>
    <t>085</t>
  </si>
  <si>
    <t>Continuous</t>
  </si>
  <si>
    <t>Critical speed check</t>
  </si>
  <si>
    <t>Buckling check</t>
  </si>
  <si>
    <t>Unit Fail test  (0 = pass, 1 = fail)</t>
  </si>
  <si>
    <t>Message</t>
  </si>
  <si>
    <t>SUM</t>
  </si>
  <si>
    <t>Unit OK?</t>
  </si>
  <si>
    <t>Motor performance OK?</t>
  </si>
  <si>
    <t>Motor size OK</t>
  </si>
  <si>
    <t>Sum</t>
  </si>
  <si>
    <t>revisedFx (N)</t>
  </si>
  <si>
    <t xml:space="preserve">Att ändra: </t>
  </si>
  <si>
    <t>Livslängdsberäkningarna skall inte innehålla hastighet</t>
  </si>
  <si>
    <t>Continuous Motor data</t>
  </si>
  <si>
    <t>Cyclic Motor data</t>
  </si>
  <si>
    <t>RPMrms</t>
  </si>
  <si>
    <t>Total</t>
  </si>
  <si>
    <t>ABS(((time1/2+time2+time3/2)/time*(speed2-speed1)+(speed1))*gear</t>
  </si>
  <si>
    <t>Time (ms)</t>
  </si>
  <si>
    <t>Speed (rpm)</t>
  </si>
  <si>
    <t>ROT((D130^2*time1+D131^2*time2+D132^2*time3+D133^2*time4)/time)</t>
  </si>
  <si>
    <t>Rated speed</t>
  </si>
  <si>
    <t>Max speed (cyclic) [rpm]</t>
  </si>
  <si>
    <t>SEE COLUMN AP for fm factors</t>
  </si>
  <si>
    <t>Från Anydim</t>
  </si>
  <si>
    <t>Vrms</t>
  </si>
  <si>
    <t>STEP3</t>
  </si>
  <si>
    <t>motor capability</t>
  </si>
  <si>
    <t xml:space="preserve"> at specified rpm continuous drive</t>
  </si>
  <si>
    <t>Current</t>
  </si>
  <si>
    <t>Select unit of measure</t>
  </si>
  <si>
    <r>
      <t>Idle torque</t>
    </r>
    <r>
      <rPr>
        <sz val="9"/>
        <rFont val="Calibri"/>
        <family val="2"/>
        <scheme val="minor"/>
      </rPr>
      <t xml:space="preserve"> [Nm]</t>
    </r>
  </si>
  <si>
    <t>Current choice</t>
  </si>
  <si>
    <t>Header</t>
  </si>
  <si>
    <t>X-axis</t>
  </si>
  <si>
    <t>Y-axis</t>
  </si>
  <si>
    <t>RMS values</t>
  </si>
  <si>
    <t>USED IN GRAPH</t>
  </si>
  <si>
    <t>mm/s or Torque</t>
  </si>
  <si>
    <t>Fx or rpm</t>
  </si>
  <si>
    <t>2. Customer Supplied</t>
  </si>
  <si>
    <t>Kollmorgen AKM Servo</t>
  </si>
  <si>
    <t>Force OK?</t>
  </si>
  <si>
    <t>Max force</t>
  </si>
  <si>
    <t>Fy Fz</t>
  </si>
  <si>
    <t>Stroke OK?</t>
  </si>
  <si>
    <t>1= not OK, 0 = OK</t>
  </si>
  <si>
    <t>Speed OK?</t>
  </si>
  <si>
    <t>Acc OK?</t>
  </si>
  <si>
    <t>Cycles per min</t>
  </si>
  <si>
    <t>Duty Cycle</t>
  </si>
  <si>
    <t>19-24</t>
  </si>
  <si>
    <t>24-29</t>
  </si>
  <si>
    <t>29-34</t>
  </si>
  <si>
    <t>34-39</t>
  </si>
  <si>
    <t>Redimount Flange Motor Dimensions Compatibility</t>
  </si>
  <si>
    <t>Bell House Length</t>
  </si>
  <si>
    <t>Bell House Length, C [mm]</t>
  </si>
  <si>
    <t>Motor shaft Length [mm]</t>
  </si>
  <si>
    <t>Motor data</t>
  </si>
  <si>
    <t>Bolt circle diameter</t>
  </si>
  <si>
    <t>Shaft Diameter</t>
  </si>
  <si>
    <t>Shaft Length</t>
  </si>
  <si>
    <t>Pilot Diameter</t>
  </si>
  <si>
    <t>Pilot length</t>
  </si>
  <si>
    <t>Weight of Unit [kg]</t>
  </si>
  <si>
    <t>Flange A[mm]</t>
  </si>
  <si>
    <t>Flange B [mm]</t>
  </si>
  <si>
    <t>43.8-48</t>
  </si>
  <si>
    <t>48-72</t>
  </si>
  <si>
    <t>5-11</t>
  </si>
  <si>
    <t>19-39</t>
  </si>
  <si>
    <t>16-36</t>
  </si>
  <si>
    <t>16-54</t>
  </si>
  <si>
    <t>max 4</t>
  </si>
  <si>
    <t xml:space="preserve">Sum </t>
  </si>
  <si>
    <t>PC and Gear selection</t>
  </si>
  <si>
    <t>Unit part number ***</t>
  </si>
  <si>
    <t>PC 25 LX</t>
  </si>
  <si>
    <t>0.53+(Smax[mm] x 0.0021)</t>
  </si>
  <si>
    <t>PC 25 PA</t>
  </si>
  <si>
    <t>25-51</t>
  </si>
  <si>
    <t>51-72</t>
  </si>
  <si>
    <t>Flange C [mm]</t>
  </si>
  <si>
    <t>Flange D [mm]</t>
  </si>
  <si>
    <t>5-10</t>
  </si>
  <si>
    <t>13-35</t>
  </si>
  <si>
    <t>16-39</t>
  </si>
  <si>
    <t>Motor Square/diameter</t>
  </si>
  <si>
    <t>max 66.5</t>
  </si>
  <si>
    <t>0.778+(Smax[mm] x 0.0021)</t>
  </si>
  <si>
    <t>PC 32 LX</t>
  </si>
  <si>
    <t>PC 32 PA</t>
  </si>
  <si>
    <t>PC 40 LX</t>
  </si>
  <si>
    <t>PC 40 PA</t>
  </si>
  <si>
    <t>20-27</t>
  </si>
  <si>
    <t>27-34</t>
  </si>
  <si>
    <t>34-41</t>
  </si>
  <si>
    <t>37-50</t>
  </si>
  <si>
    <t>50-99</t>
  </si>
  <si>
    <t>5-16</t>
  </si>
  <si>
    <t>20-41</t>
  </si>
  <si>
    <t>16-75</t>
  </si>
  <si>
    <t>0.681+(Smax[mm] x 0.0034)</t>
  </si>
  <si>
    <t>25-72</t>
  </si>
  <si>
    <t>72-99</t>
  </si>
  <si>
    <t>5-14</t>
  </si>
  <si>
    <t>15-34</t>
  </si>
  <si>
    <t>16-74</t>
  </si>
  <si>
    <t>max 82.5</t>
  </si>
  <si>
    <t>1.221+(Smax[mm] x 0.0034)</t>
  </si>
  <si>
    <t>37-72</t>
  </si>
  <si>
    <t>72-107</t>
  </si>
  <si>
    <t>16-85</t>
  </si>
  <si>
    <t>1.853+(Smax[mm] x 0.0052)</t>
  </si>
  <si>
    <t>26-85</t>
  </si>
  <si>
    <t>85-107</t>
  </si>
  <si>
    <t>15-41</t>
  </si>
  <si>
    <t>16-64</t>
  </si>
  <si>
    <t>max 90.5</t>
  </si>
  <si>
    <t>2.318+(Smax[mm] x 0.0052)</t>
  </si>
  <si>
    <t xml:space="preserve">Dimensions for Bell house and  Redimount flanges </t>
  </si>
  <si>
    <t>torque=Load under input</t>
  </si>
  <si>
    <t>Dry torque =Dry friction under input</t>
  </si>
  <si>
    <t>Wiknugsgrad=Efficiency för gear</t>
  </si>
  <si>
    <t>Gear=ratio</t>
  </si>
  <si>
    <t xml:space="preserve">M18=indertia motor </t>
  </si>
  <si>
    <t xml:space="preserve">Accel1/3=accel rad/s² under motion profile </t>
  </si>
  <si>
    <t>AnyDim</t>
  </si>
  <si>
    <t>T acc</t>
  </si>
  <si>
    <t>accel1*gear*(inertia/10/gear^2+M18+gear_inertia/10)/1000+(torque+OM(accel1&gt;=0;OM(OCH(speed1=0;speed2=0);0;DryTorq);-DryTorq))/gear)/Wirkungsgrad</t>
  </si>
  <si>
    <t>T cons</t>
  </si>
  <si>
    <t>(torque+OM(speed2=0;0;OM(speed2&gt;0;DryTorq;-DryTorq)))/gear/Wirkungsgrad</t>
  </si>
  <si>
    <t>T decc</t>
  </si>
  <si>
    <t>(accel3*gear*(inertia/10/gear^2+M18+gear_inertia/10)/1000+(torque+OM(accel1&gt;=0;OM(OCH(speed1=0;speed2=0);0;DryTorq);-DryTorq))/gear)/Wirkungsgrad</t>
  </si>
  <si>
    <t>Tpaus</t>
  </si>
  <si>
    <t>torque+OM(speed1=0;0;OM(speed4&gt;0;DryTorq;-DryTorq)))/gear/Wirkungsgrad</t>
  </si>
  <si>
    <t>Latest update 2017-05-30 ASc</t>
  </si>
  <si>
    <t>Dimensions PC25</t>
  </si>
  <si>
    <t>Dimensions PC32</t>
  </si>
  <si>
    <t>Dimensions PC40</t>
  </si>
  <si>
    <t>240</t>
  </si>
  <si>
    <t>lägg in koll så att peak moment inte är längre en 1 sek</t>
  </si>
  <si>
    <t xml:space="preserve">Kolla så att T rms ligger 80 procent av cont toruque vid specifikt medelvarvtal. Om inte så ta annan motor. </t>
  </si>
  <si>
    <t>lägg in val av vertikal applikation och tvinga användaren till att ange både massa och kraft samt horizontell applikation med external guide</t>
  </si>
  <si>
    <t>***= If only the unit part number cell is blank the motor or the unit cannot handle the specified application. If a row is blank the unit cannot handle the current application data</t>
  </si>
  <si>
    <t>Motor curve</t>
  </si>
  <si>
    <t>4. PC32, Lead 10 mm</t>
  </si>
  <si>
    <t>Force active during stop? *</t>
  </si>
  <si>
    <t>fm factor *</t>
  </si>
  <si>
    <t>Vertical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</si>
</sst>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44" formatCode="_-* #,##0.00\ &quot;kr&quot;_-;\-* #,##0.00\ &quot;kr&quot;_-;_-* &quot;-&quot;??\ &quot;kr&quot;_-;_-@_-"/>
    <numFmt numFmtId="43" formatCode="_-* #,##0.00\ _k_r_-;\-* #,##0.00\ _k_r_-;_-* &quot;-&quot;??\ _k_r_-;_-@_-"/>
    <numFmt numFmtId="164" formatCode="_(&quot;$&quot;* #,##0_);_(&quot;$&quot;* \(#,##0\);_(&quot;$&quot;* &quot;-&quot;_);_(@_)"/>
    <numFmt numFmtId="165" formatCode="_(&quot;$&quot;* #,##0.00_);_(&quot;$&quot;* \(#,##0.00\);_(&quot;$&quot;* &quot;-&quot;??_);_(@_)"/>
    <numFmt numFmtId="166" formatCode="_(* #,##0.00_);_(* \(#,##0.00\);_(* &quot;-&quot;??_);_(@_)"/>
    <numFmt numFmtId="167" formatCode="0.000"/>
    <numFmt numFmtId="168" formatCode="0.0"/>
    <numFmt numFmtId="169" formatCode="#,##0.0"/>
    <numFmt numFmtId="170" formatCode="#,##0.0000000"/>
    <numFmt numFmtId="171" formatCode="0.0000"/>
    <numFmt numFmtId="172" formatCode="0.000000000"/>
    <numFmt numFmtId="173" formatCode="_-* #,##0.00\ [$€-1]_-;\-* #,##0.00\ [$€-1]_-;_-* &quot;-&quot;??\ [$€-1]_-"/>
    <numFmt numFmtId="174" formatCode="#,##0.00_ ;[Red]\-#,##0.00;\-"/>
    <numFmt numFmtId="175" formatCode="#,##0;\-#,##0;&quot;-&quot;"/>
    <numFmt numFmtId="176" formatCode="_-* #,##0.00\ &quot;€&quot;_-;\-* #,##0.00\ &quot;€&quot;_-;_-* &quot;-&quot;??\ &quot;€&quot;_-;_-@_-"/>
    <numFmt numFmtId="177" formatCode="\d\.\ mm\ \y\y"/>
    <numFmt numFmtId="178" formatCode="mm&quot;/&quot;\y\y"/>
    <numFmt numFmtId="179" formatCode="_-* #,##0\ _$_-;\-* #,##0\ _$_-;_-* &quot;-&quot;\ _$_-;_-@_-"/>
    <numFmt numFmtId="180" formatCode="_-* #,##0.00\ _$_-;\-* #,##0.00\ _$_-;_-* &quot;-&quot;??\ _$_-;_-@_-"/>
    <numFmt numFmtId="181" formatCode="#,##0;[Red]&quot;(&quot;#,##0&quot;)&quot;"/>
    <numFmt numFmtId="182" formatCode="#,##0.00;[Red]&quot;(&quot;#,##0.00&quot;)&quot;"/>
    <numFmt numFmtId="183" formatCode="&quot;Market Segment &quot;0"/>
    <numFmt numFmtId="184" formatCode="_-* #,##0\ _F_-;\-* #,##0\ _F_-;_-* &quot;-&quot;\ _F_-;_-@_-"/>
    <numFmt numFmtId="185" formatCode="_-* #,##0.00\ _F_-;\-* #,##0.00\ _F_-;_-* &quot;-&quot;??\ _F_-;_-@_-"/>
    <numFmt numFmtId="186" formatCode="_-&quot;$&quot;* #,##0.00_-;\-&quot;$&quot;* #,##0.00_-;_-&quot;$&quot;* &quot;-&quot;??_-;_-@_-"/>
    <numFmt numFmtId="187" formatCode="_-* #,##0\ &quot;F&quot;_-;\-* #,##0\ &quot;F&quot;_-;_-* &quot;-&quot;\ &quot;F&quot;_-;_-@_-"/>
    <numFmt numFmtId="188" formatCode="_-* #,##0.00\ &quot;F&quot;_-;\-* #,##0.00\ &quot;F&quot;_-;_-* &quot;-&quot;??\ &quot;F&quot;_-;_-@_-"/>
    <numFmt numFmtId="189" formatCode="0.00_)"/>
    <numFmt numFmtId="190" formatCode="_-* #,##0_-;\-* #,##0_-;_-* &quot;-&quot;_-;_-@_-"/>
    <numFmt numFmtId="191" formatCode="_-&quot;£&quot;* #,##0_-;\-&quot;£&quot;* #,##0_-;_-&quot;£&quot;* &quot;-&quot;_-;_-@_-"/>
    <numFmt numFmtId="192" formatCode="_-* #,##0\ &quot;$&quot;_-;\-* #,##0\ &quot;$&quot;_-;_-* &quot;-&quot;\ &quot;$&quot;_-;_-@_-"/>
    <numFmt numFmtId="193" formatCode="_-* #,##0.00\ &quot;$&quot;_-;\-* #,##0.00\ &quot;$&quot;_-;_-* &quot;-&quot;??\ &quot;$&quot;_-;_-@_-"/>
    <numFmt numFmtId="194" formatCode="\$#,##0\ ;\(\$#,##0\)"/>
    <numFmt numFmtId="195" formatCode="#,##0&quot; DM&quot;;[Red]&quot;(&quot;#,##0&quot;) DM&quot;"/>
    <numFmt numFmtId="196" formatCode="#,##0.00&quot; DM&quot;;[Red]&quot;(&quot;#,##0.00&quot;) DM&quot;"/>
    <numFmt numFmtId="197" formatCode="0\ &quot;V&quot;"/>
    <numFmt numFmtId="198" formatCode="0.0\ &quot;Arms&quot;"/>
  </numFmts>
  <fonts count="121">
    <font>
      <sz val="11"/>
      <color theme="1"/>
      <name val="Calibri"/>
      <family val="2"/>
      <scheme val="minor"/>
    </font>
    <font>
      <vertAlign val="subscript"/>
      <sz val="11"/>
      <color indexed="8"/>
      <name val="Calibri"/>
      <family val="2"/>
    </font>
    <font>
      <b/>
      <sz val="11"/>
      <color theme="1"/>
      <name val="Calibri"/>
      <family val="2"/>
      <scheme val="minor"/>
    </font>
    <font>
      <sz val="11"/>
      <color rgb="FFFF0000"/>
      <name val="Calibri"/>
      <family val="2"/>
      <scheme val="minor"/>
    </font>
    <font>
      <sz val="11"/>
      <color rgb="FF0000FF"/>
      <name val="Calibri"/>
      <family val="2"/>
      <scheme val="minor"/>
    </font>
    <font>
      <b/>
      <sz val="11"/>
      <color rgb="FF0000FF"/>
      <name val="Calibri"/>
      <family val="2"/>
      <scheme val="minor"/>
    </font>
    <font>
      <sz val="9"/>
      <color theme="1"/>
      <name val="Calibri"/>
      <family val="2"/>
      <scheme val="minor"/>
    </font>
    <font>
      <sz val="11"/>
      <color theme="1"/>
      <name val="Calibri"/>
      <family val="2"/>
      <scheme val="minor"/>
    </font>
    <font>
      <b/>
      <sz val="20"/>
      <name val="Calibri"/>
      <family val="2"/>
      <scheme val="minor"/>
    </font>
    <font>
      <sz val="20"/>
      <name val="Calibri"/>
      <family val="2"/>
      <scheme val="minor"/>
    </font>
    <font>
      <b/>
      <sz val="9"/>
      <color theme="1"/>
      <name val="Calibri"/>
      <family val="2"/>
      <scheme val="minor"/>
    </font>
    <font>
      <b/>
      <sz val="9"/>
      <color rgb="FF0000FF"/>
      <name val="Calibri"/>
      <family val="2"/>
      <scheme val="minor"/>
    </font>
    <font>
      <b/>
      <sz val="9"/>
      <color rgb="FFFF0000"/>
      <name val="Calibri"/>
      <family val="2"/>
      <scheme val="minor"/>
    </font>
    <font>
      <b/>
      <sz val="11"/>
      <name val="Calibri"/>
      <family val="2"/>
      <scheme val="minor"/>
    </font>
    <font>
      <b/>
      <sz val="10"/>
      <name val="Arial"/>
      <family val="2"/>
    </font>
    <font>
      <b/>
      <sz val="10"/>
      <color indexed="12"/>
      <name val="Arial"/>
      <family val="2"/>
    </font>
    <font>
      <vertAlign val="superscript"/>
      <sz val="10"/>
      <name val="Arial"/>
      <family val="2"/>
    </font>
    <font>
      <b/>
      <sz val="10"/>
      <color indexed="10"/>
      <name val="Arial"/>
      <family val="2"/>
    </font>
    <font>
      <sz val="8"/>
      <color theme="1"/>
      <name val="Calibri"/>
      <family val="2"/>
      <scheme val="minor"/>
    </font>
    <font>
      <sz val="10"/>
      <name val="Arial"/>
      <family val="2"/>
    </font>
    <font>
      <b/>
      <sz val="11"/>
      <color rgb="FFFF0000"/>
      <name val="Calibri"/>
      <family val="2"/>
      <scheme val="minor"/>
    </font>
    <font>
      <sz val="11"/>
      <name val="Calibri"/>
      <family val="2"/>
      <scheme val="minor"/>
    </font>
    <font>
      <sz val="14"/>
      <color theme="1"/>
      <name val="Calibri"/>
      <family val="2"/>
      <scheme val="minor"/>
    </font>
    <font>
      <sz val="9"/>
      <color rgb="FFFF0000"/>
      <name val="Calibri"/>
      <family val="2"/>
      <scheme val="minor"/>
    </font>
    <font>
      <u/>
      <sz val="11"/>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b/>
      <sz val="6"/>
      <color theme="1"/>
      <name val="Calibri"/>
      <family val="2"/>
      <scheme val="minor"/>
    </font>
    <font>
      <sz val="11"/>
      <color rgb="FF9C6500"/>
      <name val="Calibri"/>
      <family val="2"/>
      <scheme val="minor"/>
    </font>
    <font>
      <sz val="11"/>
      <color theme="4"/>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indexed="81"/>
      <name val="Tahoma"/>
      <family val="2"/>
    </font>
    <font>
      <b/>
      <sz val="12"/>
      <name val="Arial"/>
      <family val="2"/>
    </font>
    <font>
      <b/>
      <sz val="10"/>
      <color indexed="8"/>
      <name val="Arial"/>
      <family val="2"/>
    </font>
    <font>
      <sz val="8"/>
      <name val="Arial"/>
      <family val="2"/>
    </font>
    <font>
      <b/>
      <i/>
      <sz val="10"/>
      <name val="Arial"/>
      <family val="2"/>
    </font>
    <font>
      <i/>
      <sz val="10"/>
      <name val="Arial"/>
      <family val="2"/>
    </font>
    <font>
      <b/>
      <i/>
      <sz val="9"/>
      <name val="Arial"/>
      <family val="2"/>
    </font>
    <font>
      <b/>
      <sz val="9"/>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b/>
      <sz val="11"/>
      <color indexed="52"/>
      <name val="Calibri"/>
      <family val="2"/>
    </font>
    <font>
      <b/>
      <sz val="10"/>
      <color indexed="52"/>
      <name val="Arial"/>
      <family val="2"/>
    </font>
    <font>
      <sz val="12"/>
      <name val="Times New Roman"/>
      <family val="1"/>
    </font>
    <font>
      <b/>
      <sz val="11"/>
      <color indexed="9"/>
      <name val="Calibri"/>
      <family val="2"/>
    </font>
    <font>
      <b/>
      <sz val="10"/>
      <color indexed="9"/>
      <name val="Arial"/>
      <family val="2"/>
    </font>
    <font>
      <sz val="10"/>
      <color theme="1"/>
      <name val="Arial"/>
      <family val="2"/>
    </font>
    <font>
      <b/>
      <sz val="12"/>
      <color indexed="9"/>
      <name val="Arial"/>
      <family val="2"/>
    </font>
    <font>
      <sz val="10"/>
      <color indexed="24"/>
      <name val="Arial"/>
      <family val="2"/>
    </font>
    <font>
      <sz val="8"/>
      <name val="Helv"/>
    </font>
    <font>
      <i/>
      <sz val="11"/>
      <color indexed="23"/>
      <name val="Calibri"/>
      <family val="2"/>
    </font>
    <font>
      <i/>
      <sz val="10"/>
      <color indexed="23"/>
      <name val="Arial"/>
      <family val="2"/>
    </font>
    <font>
      <sz val="10"/>
      <color indexed="17"/>
      <name val="Arial"/>
      <family val="2"/>
    </font>
    <font>
      <sz val="11"/>
      <color indexed="17"/>
      <name val="Calibri"/>
      <family val="2"/>
    </font>
    <font>
      <sz val="10"/>
      <color rgb="FF006100"/>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1"/>
      <color theme="10"/>
      <name val="Calibri"/>
      <family val="2"/>
      <scheme val="minor"/>
    </font>
    <font>
      <u/>
      <sz val="10"/>
      <color indexed="12"/>
      <name val="Arial"/>
      <family val="2"/>
    </font>
    <font>
      <sz val="10"/>
      <color indexed="62"/>
      <name val="Arial"/>
      <family val="2"/>
    </font>
    <font>
      <sz val="11"/>
      <color indexed="62"/>
      <name val="Calibri"/>
      <family val="2"/>
    </font>
    <font>
      <sz val="11"/>
      <color indexed="52"/>
      <name val="Calibri"/>
      <family val="2"/>
    </font>
    <font>
      <sz val="10"/>
      <color indexed="52"/>
      <name val="Arial"/>
      <family val="2"/>
    </font>
    <font>
      <b/>
      <sz val="12"/>
      <color indexed="8"/>
      <name val="Arial"/>
      <family val="2"/>
    </font>
    <font>
      <sz val="10"/>
      <name val="Times New Roman"/>
      <family val="1"/>
    </font>
    <font>
      <sz val="11"/>
      <color indexed="60"/>
      <name val="Calibri"/>
      <family val="2"/>
    </font>
    <font>
      <sz val="10"/>
      <color indexed="60"/>
      <name val="Arial"/>
      <family val="2"/>
    </font>
    <font>
      <sz val="10"/>
      <color rgb="FF9C6500"/>
      <name val="Arial"/>
      <family val="2"/>
    </font>
    <font>
      <b/>
      <i/>
      <sz val="16"/>
      <name val="Helv"/>
    </font>
    <font>
      <b/>
      <sz val="11"/>
      <color indexed="63"/>
      <name val="Calibri"/>
      <family val="2"/>
    </font>
    <font>
      <b/>
      <sz val="10"/>
      <color indexed="63"/>
      <name val="Arial"/>
      <family val="2"/>
    </font>
    <font>
      <sz val="10"/>
      <name val="Helv"/>
    </font>
    <font>
      <sz val="12"/>
      <name val="Helv"/>
    </font>
    <font>
      <b/>
      <sz val="18"/>
      <color indexed="56"/>
      <name val="Cambria"/>
      <family val="2"/>
    </font>
    <font>
      <b/>
      <sz val="11"/>
      <color indexed="8"/>
      <name val="Calibri"/>
      <family val="2"/>
    </font>
    <font>
      <sz val="11"/>
      <color indexed="10"/>
      <name val="Calibri"/>
      <family val="2"/>
    </font>
    <font>
      <sz val="10"/>
      <color indexed="10"/>
      <name val="Arial"/>
      <family val="2"/>
    </font>
    <font>
      <b/>
      <sz val="18"/>
      <color indexed="24"/>
      <name val="Arial"/>
      <family val="2"/>
    </font>
    <font>
      <b/>
      <sz val="12"/>
      <color indexed="24"/>
      <name val="Arial"/>
      <family val="2"/>
    </font>
    <font>
      <sz val="12"/>
      <color theme="1"/>
      <name val="Calibri"/>
      <family val="2"/>
      <charset val="136"/>
      <scheme val="minor"/>
    </font>
    <font>
      <sz val="12"/>
      <name val="新細明體"/>
      <family val="1"/>
      <charset val="136"/>
    </font>
    <font>
      <sz val="11"/>
      <name val="ＭＳ Ｐゴシック"/>
      <family val="3"/>
      <charset val="128"/>
    </font>
    <font>
      <sz val="9"/>
      <name val="Calibri"/>
      <family val="2"/>
      <scheme val="minor"/>
    </font>
    <font>
      <b/>
      <sz val="9"/>
      <name val="Calibri"/>
      <family val="2"/>
      <scheme val="minor"/>
    </font>
    <font>
      <sz val="20"/>
      <color theme="1"/>
      <name val="Calibri"/>
      <family val="2"/>
      <scheme val="minor"/>
    </font>
    <font>
      <b/>
      <sz val="20"/>
      <color theme="1"/>
      <name val="Calibri"/>
      <family val="2"/>
      <scheme val="minor"/>
    </font>
    <font>
      <sz val="10"/>
      <color indexed="22"/>
      <name val="Arial"/>
      <family val="2"/>
    </font>
    <font>
      <sz val="10"/>
      <color rgb="FFFF0000"/>
      <name val="Arial"/>
      <family val="2"/>
    </font>
    <font>
      <b/>
      <sz val="10"/>
      <color rgb="FFFF0000"/>
      <name val="Arial"/>
      <family val="2"/>
    </font>
    <font>
      <sz val="10"/>
      <name val="Arial"/>
      <family val="2"/>
    </font>
    <font>
      <sz val="10"/>
      <name val="Arial"/>
      <family val="2"/>
    </font>
    <font>
      <b/>
      <sz val="18"/>
      <color theme="1"/>
      <name val="Calibri"/>
      <family val="2"/>
      <scheme val="minor"/>
    </font>
    <font>
      <b/>
      <sz val="16"/>
      <color theme="1"/>
      <name val="Calibri"/>
      <family val="2"/>
      <scheme val="minor"/>
    </font>
    <font>
      <b/>
      <u/>
      <sz val="11"/>
      <color theme="1"/>
      <name val="Calibri"/>
      <family val="2"/>
      <scheme val="minor"/>
    </font>
    <font>
      <b/>
      <sz val="12"/>
      <color theme="0"/>
      <name val="Calibri"/>
      <family val="2"/>
      <scheme val="minor"/>
    </font>
    <font>
      <b/>
      <sz val="14"/>
      <color theme="1"/>
      <name val="Calibri"/>
      <family val="2"/>
      <scheme val="minor"/>
    </font>
    <font>
      <b/>
      <sz val="16"/>
      <name val="Calibri"/>
      <family val="2"/>
      <scheme val="minor"/>
    </font>
    <font>
      <b/>
      <sz val="11"/>
      <color theme="4"/>
      <name val="Calibri"/>
      <family val="2"/>
      <scheme val="minor"/>
    </font>
    <font>
      <b/>
      <sz val="12"/>
      <color theme="4"/>
      <name val="Calibri"/>
      <family val="2"/>
      <scheme val="minor"/>
    </font>
    <font>
      <b/>
      <sz val="8"/>
      <name val="Calibri"/>
      <family val="2"/>
      <scheme val="minor"/>
    </font>
    <font>
      <b/>
      <sz val="14"/>
      <color theme="4"/>
      <name val="Calibri"/>
      <family val="2"/>
      <scheme val="minor"/>
    </font>
    <font>
      <b/>
      <sz val="16"/>
      <color rgb="FFFF0000"/>
      <name val="Calibri"/>
      <family val="2"/>
      <scheme val="minor"/>
    </font>
  </fonts>
  <fills count="81">
    <fill>
      <patternFill patternType="none"/>
    </fill>
    <fill>
      <patternFill patternType="gray125"/>
    </fill>
    <fill>
      <patternFill patternType="solid">
        <fgColor rgb="FFCCFFFF"/>
        <bgColor indexed="64"/>
      </patternFill>
    </fill>
    <fill>
      <patternFill patternType="solid">
        <fgColor rgb="FFFFFF66"/>
        <bgColor indexed="64"/>
      </patternFill>
    </fill>
    <fill>
      <patternFill patternType="solid">
        <fgColor rgb="FFFFFF00"/>
        <bgColor indexed="64"/>
      </patternFill>
    </fill>
    <fill>
      <patternFill patternType="solid">
        <fgColor indexed="43"/>
        <bgColor indexed="64"/>
      </patternFill>
    </fill>
    <fill>
      <patternFill patternType="solid">
        <fgColor indexed="41"/>
        <bgColor indexed="64"/>
      </patternFill>
    </fill>
    <fill>
      <patternFill patternType="solid">
        <fgColor rgb="FFFFFFCC"/>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000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8"/>
        <bgColor indexed="64"/>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13"/>
        <bgColor indexed="64"/>
      </patternFill>
    </fill>
    <fill>
      <patternFill patternType="solid">
        <fgColor rgb="FFFFC000"/>
        <bgColor indexed="64"/>
      </patternFill>
    </fill>
    <fill>
      <patternFill patternType="solid">
        <fgColor indexed="42"/>
        <bgColor indexed="64"/>
      </patternFill>
    </fill>
    <fill>
      <patternFill patternType="solid">
        <fgColor theme="6" tint="0.59999389629810485"/>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59999389629810485"/>
        <bgColor indexed="64"/>
      </patternFill>
    </fill>
  </fills>
  <borders count="14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hair">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9"/>
      </left>
      <right style="medium">
        <color indexed="9"/>
      </right>
      <top style="medium">
        <color indexed="9"/>
      </top>
      <bottom style="medium">
        <color indexed="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92D050"/>
      </left>
      <right/>
      <top style="medium">
        <color rgb="FF92D050"/>
      </top>
      <bottom/>
      <diagonal/>
    </border>
    <border>
      <left/>
      <right/>
      <top style="medium">
        <color rgb="FF92D050"/>
      </top>
      <bottom/>
      <diagonal/>
    </border>
    <border>
      <left/>
      <right style="medium">
        <color rgb="FF92D050"/>
      </right>
      <top style="medium">
        <color rgb="FF92D050"/>
      </top>
      <bottom/>
      <diagonal/>
    </border>
    <border>
      <left style="medium">
        <color rgb="FF92D050"/>
      </left>
      <right/>
      <top/>
      <bottom/>
      <diagonal/>
    </border>
    <border>
      <left/>
      <right style="medium">
        <color rgb="FF92D050"/>
      </right>
      <top/>
      <bottom/>
      <diagonal/>
    </border>
    <border>
      <left style="medium">
        <color rgb="FF92D050"/>
      </left>
      <right/>
      <top/>
      <bottom style="medium">
        <color rgb="FF92D050"/>
      </bottom>
      <diagonal/>
    </border>
    <border>
      <left/>
      <right/>
      <top/>
      <bottom style="medium">
        <color rgb="FF92D050"/>
      </bottom>
      <diagonal/>
    </border>
    <border>
      <left/>
      <right style="medium">
        <color rgb="FF92D050"/>
      </right>
      <top/>
      <bottom style="medium">
        <color rgb="FF92D050"/>
      </bottom>
      <diagonal/>
    </border>
    <border>
      <left style="thin">
        <color indexed="64"/>
      </left>
      <right/>
      <top style="medium">
        <color rgb="FF92D050"/>
      </top>
      <bottom/>
      <diagonal/>
    </border>
    <border>
      <left/>
      <right style="thin">
        <color indexed="64"/>
      </right>
      <top style="medium">
        <color rgb="FF92D050"/>
      </top>
      <bottom/>
      <diagonal/>
    </border>
    <border>
      <left style="thin">
        <color indexed="64"/>
      </left>
      <right style="thin">
        <color indexed="64"/>
      </right>
      <top style="medium">
        <color rgb="FF92D050"/>
      </top>
      <bottom style="thin">
        <color indexed="64"/>
      </bottom>
      <diagonal/>
    </border>
    <border>
      <left/>
      <right style="medium">
        <color rgb="FF92D050"/>
      </right>
      <top/>
      <bottom style="thin">
        <color indexed="64"/>
      </bottom>
      <diagonal/>
    </border>
    <border>
      <left/>
      <right style="medium">
        <color rgb="FF92D050"/>
      </right>
      <top style="thin">
        <color indexed="64"/>
      </top>
      <bottom/>
      <diagonal/>
    </border>
    <border>
      <left style="medium">
        <color rgb="FF92D050"/>
      </left>
      <right style="thin">
        <color indexed="64"/>
      </right>
      <top/>
      <bottom/>
      <diagonal/>
    </border>
    <border>
      <left style="medium">
        <color rgb="FF92D050"/>
      </left>
      <right style="thin">
        <color indexed="64"/>
      </right>
      <top style="thin">
        <color indexed="64"/>
      </top>
      <bottom style="thin">
        <color indexed="64"/>
      </bottom>
      <diagonal/>
    </border>
    <border>
      <left style="medium">
        <color rgb="FF92D050"/>
      </left>
      <right/>
      <top style="thin">
        <color indexed="64"/>
      </top>
      <bottom style="thin">
        <color indexed="64"/>
      </bottom>
      <diagonal/>
    </border>
    <border>
      <left style="thin">
        <color indexed="64"/>
      </left>
      <right/>
      <top/>
      <bottom style="medium">
        <color rgb="FF92D050"/>
      </bottom>
      <diagonal/>
    </border>
    <border>
      <left/>
      <right style="medium">
        <color indexed="64"/>
      </right>
      <top style="thin">
        <color indexed="64"/>
      </top>
      <bottom/>
      <diagonal/>
    </border>
    <border>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ck">
        <color theme="6"/>
      </left>
      <right/>
      <top style="thick">
        <color theme="6"/>
      </top>
      <bottom/>
      <diagonal/>
    </border>
    <border>
      <left/>
      <right/>
      <top style="thick">
        <color theme="6"/>
      </top>
      <bottom/>
      <diagonal/>
    </border>
    <border>
      <left/>
      <right style="thick">
        <color theme="6"/>
      </right>
      <top style="thick">
        <color theme="6"/>
      </top>
      <bottom/>
      <diagonal/>
    </border>
    <border>
      <left style="thick">
        <color theme="6"/>
      </left>
      <right/>
      <top/>
      <bottom/>
      <diagonal/>
    </border>
    <border>
      <left/>
      <right style="thick">
        <color theme="6"/>
      </right>
      <top/>
      <bottom/>
      <diagonal/>
    </border>
    <border>
      <left style="thick">
        <color theme="6"/>
      </left>
      <right/>
      <top/>
      <bottom style="thick">
        <color theme="6"/>
      </bottom>
      <diagonal/>
    </border>
    <border>
      <left/>
      <right/>
      <top/>
      <bottom style="thick">
        <color theme="6"/>
      </bottom>
      <diagonal/>
    </border>
    <border>
      <left/>
      <right style="thick">
        <color theme="6"/>
      </right>
      <top/>
      <bottom style="thick">
        <color theme="6"/>
      </bottom>
      <diagonal/>
    </border>
    <border>
      <left style="medium">
        <color rgb="FF92D050"/>
      </left>
      <right/>
      <top style="thin">
        <color indexed="64"/>
      </top>
      <bottom/>
      <diagonal/>
    </border>
    <border>
      <left style="medium">
        <color rgb="FF92D050"/>
      </left>
      <right/>
      <top/>
      <bottom style="thin">
        <color indexed="64"/>
      </bottom>
      <diagonal/>
    </border>
    <border>
      <left/>
      <right style="thin">
        <color indexed="64"/>
      </right>
      <top style="double">
        <color indexed="64"/>
      </top>
      <bottom/>
      <diagonal/>
    </border>
    <border>
      <left/>
      <right/>
      <top/>
      <bottom style="thin">
        <color theme="3" tint="0.79998168889431442"/>
      </bottom>
      <diagonal/>
    </border>
    <border>
      <left/>
      <right/>
      <top style="thin">
        <color theme="6" tint="-0.499984740745262"/>
      </top>
      <bottom style="thin">
        <color theme="3" tint="0.79998168889431442"/>
      </bottom>
      <diagonal/>
    </border>
    <border>
      <left/>
      <right/>
      <top/>
      <bottom style="double">
        <color theme="6" tint="-0.499984740745262"/>
      </bottom>
      <diagonal/>
    </border>
    <border>
      <left/>
      <right style="thin">
        <color theme="6" tint="-0.499984740745262"/>
      </right>
      <top style="thin">
        <color theme="6" tint="-0.499984740745262"/>
      </top>
      <bottom style="thin">
        <color theme="3" tint="0.79998168889431442"/>
      </bottom>
      <diagonal/>
    </border>
    <border>
      <left/>
      <right style="thin">
        <color theme="6" tint="-0.499984740745262"/>
      </right>
      <top/>
      <bottom style="thin">
        <color theme="3" tint="0.79998168889431442"/>
      </bottom>
      <diagonal/>
    </border>
    <border>
      <left/>
      <right style="thin">
        <color theme="6" tint="-0.499984740745262"/>
      </right>
      <top/>
      <bottom style="double">
        <color theme="6" tint="-0.499984740745262"/>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right/>
      <top/>
      <bottom style="double">
        <color indexed="64"/>
      </bottom>
      <diagonal/>
    </border>
    <border>
      <left style="thin">
        <color indexed="64"/>
      </left>
      <right/>
      <top style="double">
        <color indexed="64"/>
      </top>
      <bottom/>
      <diagonal/>
    </border>
    <border>
      <left/>
      <right/>
      <top style="thin">
        <color auto="1"/>
      </top>
      <bottom style="medium">
        <color auto="1"/>
      </bottom>
      <diagonal/>
    </border>
    <border>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top/>
      <bottom style="thin">
        <color indexed="64"/>
      </bottom>
      <diagonal/>
    </border>
    <border>
      <left style="medium">
        <color indexed="9"/>
      </left>
      <right style="medium">
        <color indexed="9"/>
      </right>
      <top style="medium">
        <color indexed="9"/>
      </top>
      <bottom style="medium">
        <color indexed="9"/>
      </bottom>
      <diagonal/>
    </border>
  </borders>
  <cellStyleXfs count="2207">
    <xf numFmtId="0" fontId="0" fillId="0" borderId="0"/>
    <xf numFmtId="9" fontId="7" fillId="0" borderId="0" applyFont="0" applyFill="0" applyBorder="0" applyAlignment="0" applyProtection="0"/>
    <xf numFmtId="0" fontId="7" fillId="8" borderId="31" applyNumberFormat="0" applyFont="0" applyAlignment="0" applyProtection="0"/>
    <xf numFmtId="0" fontId="26" fillId="9" borderId="0" applyNumberFormat="0" applyBorder="0" applyAlignment="0" applyProtection="0"/>
    <xf numFmtId="0" fontId="27" fillId="10" borderId="0" applyNumberFormat="0" applyBorder="0" applyAlignment="0" applyProtection="0"/>
    <xf numFmtId="0" fontId="29" fillId="12" borderId="0" applyNumberFormat="0" applyBorder="0" applyAlignment="0" applyProtection="0"/>
    <xf numFmtId="0" fontId="19" fillId="0" borderId="0"/>
    <xf numFmtId="0" fontId="19" fillId="0" borderId="0"/>
    <xf numFmtId="0" fontId="19" fillId="0" borderId="0"/>
    <xf numFmtId="165" fontId="7" fillId="0" borderId="0" applyFont="0" applyFill="0" applyBorder="0" applyAlignment="0" applyProtection="0"/>
    <xf numFmtId="0" fontId="19" fillId="0" borderId="0"/>
    <xf numFmtId="0" fontId="7" fillId="0" borderId="0"/>
    <xf numFmtId="0" fontId="19" fillId="0" borderId="0"/>
    <xf numFmtId="0" fontId="19" fillId="0" borderId="0"/>
    <xf numFmtId="173" fontId="19" fillId="0" borderId="0" applyFont="0" applyFill="0" applyBorder="0" applyAlignment="0" applyProtection="0"/>
    <xf numFmtId="44" fontId="19" fillId="0" borderId="0" applyFont="0" applyFill="0" applyBorder="0" applyAlignment="0" applyProtection="0"/>
    <xf numFmtId="0" fontId="7" fillId="0" borderId="0"/>
    <xf numFmtId="0" fontId="19" fillId="40" borderId="0"/>
    <xf numFmtId="0" fontId="19" fillId="40" borderId="0"/>
    <xf numFmtId="0" fontId="19" fillId="40" borderId="0"/>
    <xf numFmtId="0" fontId="14" fillId="40" borderId="0"/>
    <xf numFmtId="0" fontId="47" fillId="40" borderId="0"/>
    <xf numFmtId="0" fontId="46" fillId="40" borderId="0"/>
    <xf numFmtId="0" fontId="48" fillId="40" borderId="0"/>
    <xf numFmtId="0" fontId="49" fillId="40" borderId="0"/>
    <xf numFmtId="0" fontId="45" fillId="40" borderId="0"/>
    <xf numFmtId="174" fontId="19" fillId="42" borderId="42"/>
    <xf numFmtId="174" fontId="19" fillId="42" borderId="42"/>
    <xf numFmtId="0" fontId="47" fillId="42" borderId="0"/>
    <xf numFmtId="0" fontId="19" fillId="40" borderId="0"/>
    <xf numFmtId="0" fontId="19" fillId="40" borderId="0"/>
    <xf numFmtId="0" fontId="19" fillId="40" borderId="0"/>
    <xf numFmtId="0" fontId="14" fillId="40" borderId="0"/>
    <xf numFmtId="0" fontId="47" fillId="40" borderId="0"/>
    <xf numFmtId="0" fontId="19" fillId="40" borderId="0"/>
    <xf numFmtId="0" fontId="19" fillId="40" borderId="0"/>
    <xf numFmtId="0" fontId="48" fillId="40" borderId="0"/>
    <xf numFmtId="0" fontId="49" fillId="40" borderId="0"/>
    <xf numFmtId="0" fontId="45" fillId="40" borderId="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50" fillId="4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51" fillId="4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0" fillId="4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1" fillId="4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0" fillId="4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1" fillId="4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50" fillId="46"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51" fillId="46"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50" fillId="47"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51" fillId="47"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50" fillId="48"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51" fillId="48"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50" fillId="4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51" fillId="4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0" fillId="5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1" fillId="5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50" fillId="51"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51" fillId="51"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50" fillId="4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51" fillId="4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50" fillId="49"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51" fillId="49"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50" fillId="52"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51" fillId="52"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1" fillId="19" borderId="0" applyNumberFormat="0" applyBorder="0" applyAlignment="0" applyProtection="0"/>
    <xf numFmtId="0" fontId="52" fillId="53" borderId="0" applyNumberFormat="0" applyBorder="0" applyAlignment="0" applyProtection="0"/>
    <xf numFmtId="0" fontId="53" fillId="53" borderId="0" applyNumberFormat="0" applyBorder="0" applyAlignment="0" applyProtection="0"/>
    <xf numFmtId="0" fontId="41" fillId="23" borderId="0" applyNumberFormat="0" applyBorder="0" applyAlignment="0" applyProtection="0"/>
    <xf numFmtId="0" fontId="52" fillId="50" borderId="0" applyNumberFormat="0" applyBorder="0" applyAlignment="0" applyProtection="0"/>
    <xf numFmtId="0" fontId="53" fillId="50" borderId="0" applyNumberFormat="0" applyBorder="0" applyAlignment="0" applyProtection="0"/>
    <xf numFmtId="0" fontId="41" fillId="27" borderId="0" applyNumberFormat="0" applyBorder="0" applyAlignment="0" applyProtection="0"/>
    <xf numFmtId="0" fontId="52" fillId="51" borderId="0" applyNumberFormat="0" applyBorder="0" applyAlignment="0" applyProtection="0"/>
    <xf numFmtId="0" fontId="53" fillId="51" borderId="0" applyNumberFormat="0" applyBorder="0" applyAlignment="0" applyProtection="0"/>
    <xf numFmtId="0" fontId="41" fillId="31" borderId="0" applyNumberFormat="0" applyBorder="0" applyAlignment="0" applyProtection="0"/>
    <xf numFmtId="0" fontId="52" fillId="54" borderId="0" applyNumberFormat="0" applyBorder="0" applyAlignment="0" applyProtection="0"/>
    <xf numFmtId="0" fontId="53" fillId="54" borderId="0" applyNumberFormat="0" applyBorder="0" applyAlignment="0" applyProtection="0"/>
    <xf numFmtId="0" fontId="41" fillId="35" borderId="0" applyNumberFormat="0" applyBorder="0" applyAlignment="0" applyProtection="0"/>
    <xf numFmtId="0" fontId="52" fillId="55" borderId="0" applyNumberFormat="0" applyBorder="0" applyAlignment="0" applyProtection="0"/>
    <xf numFmtId="0" fontId="53" fillId="55" borderId="0" applyNumberFormat="0" applyBorder="0" applyAlignment="0" applyProtection="0"/>
    <xf numFmtId="0" fontId="41" fillId="39" borderId="0" applyNumberFormat="0" applyBorder="0" applyAlignment="0" applyProtection="0"/>
    <xf numFmtId="0" fontId="52" fillId="56" borderId="0" applyNumberFormat="0" applyBorder="0" applyAlignment="0" applyProtection="0"/>
    <xf numFmtId="0" fontId="53" fillId="56" borderId="0" applyNumberFormat="0" applyBorder="0" applyAlignment="0" applyProtection="0"/>
    <xf numFmtId="0" fontId="41" fillId="16" borderId="0" applyNumberFormat="0" applyBorder="0" applyAlignment="0" applyProtection="0"/>
    <xf numFmtId="0" fontId="52" fillId="57" borderId="0" applyNumberFormat="0" applyBorder="0" applyAlignment="0" applyProtection="0"/>
    <xf numFmtId="0" fontId="53" fillId="57" borderId="0" applyNumberFormat="0" applyBorder="0" applyAlignment="0" applyProtection="0"/>
    <xf numFmtId="0" fontId="41" fillId="20" borderId="0" applyNumberFormat="0" applyBorder="0" applyAlignment="0" applyProtection="0"/>
    <xf numFmtId="0" fontId="52" fillId="58" borderId="0" applyNumberFormat="0" applyBorder="0" applyAlignment="0" applyProtection="0"/>
    <xf numFmtId="0" fontId="53" fillId="58" borderId="0" applyNumberFormat="0" applyBorder="0" applyAlignment="0" applyProtection="0"/>
    <xf numFmtId="0" fontId="41" fillId="24" borderId="0" applyNumberFormat="0" applyBorder="0" applyAlignment="0" applyProtection="0"/>
    <xf numFmtId="0" fontId="52" fillId="59" borderId="0" applyNumberFormat="0" applyBorder="0" applyAlignment="0" applyProtection="0"/>
    <xf numFmtId="0" fontId="53" fillId="59" borderId="0" applyNumberFormat="0" applyBorder="0" applyAlignment="0" applyProtection="0"/>
    <xf numFmtId="0" fontId="41" fillId="28" borderId="0" applyNumberFormat="0" applyBorder="0" applyAlignment="0" applyProtection="0"/>
    <xf numFmtId="0" fontId="52" fillId="54" borderId="0" applyNumberFormat="0" applyBorder="0" applyAlignment="0" applyProtection="0"/>
    <xf numFmtId="0" fontId="53" fillId="54" borderId="0" applyNumberFormat="0" applyBorder="0" applyAlignment="0" applyProtection="0"/>
    <xf numFmtId="0" fontId="41" fillId="32" borderId="0" applyNumberFormat="0" applyBorder="0" applyAlignment="0" applyProtection="0"/>
    <xf numFmtId="0" fontId="52" fillId="55" borderId="0" applyNumberFormat="0" applyBorder="0" applyAlignment="0" applyProtection="0"/>
    <xf numFmtId="0" fontId="53" fillId="55" borderId="0" applyNumberFormat="0" applyBorder="0" applyAlignment="0" applyProtection="0"/>
    <xf numFmtId="0" fontId="41" fillId="36" borderId="0" applyNumberFormat="0" applyBorder="0" applyAlignment="0" applyProtection="0"/>
    <xf numFmtId="0" fontId="52" fillId="60" borderId="0" applyNumberFormat="0" applyBorder="0" applyAlignment="0" applyProtection="0"/>
    <xf numFmtId="0" fontId="53" fillId="60" borderId="0" applyNumberFormat="0" applyBorder="0" applyAlignment="0" applyProtection="0"/>
    <xf numFmtId="0" fontId="27" fillId="10"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175" fontId="51" fillId="0" borderId="0" applyFill="0" applyBorder="0" applyAlignment="0"/>
    <xf numFmtId="0" fontId="37" fillId="14" borderId="37" applyNumberFormat="0" applyAlignment="0" applyProtection="0"/>
    <xf numFmtId="0" fontId="56" fillId="61" borderId="43" applyNumberFormat="0" applyAlignment="0" applyProtection="0"/>
    <xf numFmtId="0" fontId="57" fillId="61" borderId="43" applyNumberFormat="0" applyAlignment="0" applyProtection="0"/>
    <xf numFmtId="0" fontId="58" fillId="40" borderId="18" applyBorder="0">
      <alignment horizontal="centerContinuous"/>
    </xf>
    <xf numFmtId="0" fontId="39" fillId="15" borderId="40" applyNumberFormat="0" applyAlignment="0" applyProtection="0"/>
    <xf numFmtId="0" fontId="59" fillId="62" borderId="44" applyNumberFormat="0" applyAlignment="0" applyProtection="0"/>
    <xf numFmtId="0" fontId="60" fillId="62" borderId="44" applyNumberFormat="0" applyAlignment="0" applyProtection="0"/>
    <xf numFmtId="43" fontId="1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1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0"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44" fontId="19" fillId="0" borderId="0" applyFont="0" applyFill="0" applyBorder="0" applyAlignment="0" applyProtection="0"/>
    <xf numFmtId="176"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19"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165" fontId="6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62" fillId="63" borderId="0">
      <alignment horizontal="centerContinuous"/>
    </xf>
    <xf numFmtId="0" fontId="58" fillId="41" borderId="18" applyBorder="0"/>
    <xf numFmtId="0" fontId="58" fillId="41" borderId="18" applyBorder="0"/>
    <xf numFmtId="0" fontId="63" fillId="0" borderId="0" applyFont="0" applyFill="0" applyBorder="0" applyAlignment="0" applyProtection="0"/>
    <xf numFmtId="177" fontId="64" fillId="0" borderId="0" applyFont="0" applyFill="0" applyBorder="0" applyAlignment="0" applyProtection="0"/>
    <xf numFmtId="178" fontId="64"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181" fontId="64" fillId="0" borderId="0" applyFont="0" applyFill="0" applyBorder="0" applyAlignment="0" applyProtection="0"/>
    <xf numFmtId="182" fontId="64"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6" fontId="19" fillId="0" borderId="0" applyFont="0" applyFill="0" applyBorder="0" applyAlignment="0" applyProtection="0"/>
    <xf numFmtId="0" fontId="40"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2" fontId="63" fillId="0" borderId="0" applyFont="0" applyFill="0" applyBorder="0" applyAlignment="0" applyProtection="0"/>
    <xf numFmtId="0" fontId="63" fillId="0" borderId="45" applyNumberFormat="0" applyFont="0" applyFill="0" applyAlignment="0" applyProtection="0"/>
    <xf numFmtId="0" fontId="26" fillId="9" borderId="0" applyNumberFormat="0" applyBorder="0" applyAlignment="0" applyProtection="0"/>
    <xf numFmtId="0" fontId="67" fillId="45" borderId="0" applyNumberFormat="0" applyBorder="0" applyAlignment="0" applyProtection="0"/>
    <xf numFmtId="0" fontId="68" fillId="45" borderId="0" applyNumberFormat="0" applyBorder="0" applyAlignment="0" applyProtection="0"/>
    <xf numFmtId="0" fontId="69" fillId="9" borderId="0" applyNumberFormat="0" applyBorder="0" applyAlignment="0" applyProtection="0"/>
    <xf numFmtId="0" fontId="68" fillId="45" borderId="0" applyNumberFormat="0" applyBorder="0" applyAlignment="0" applyProtection="0"/>
    <xf numFmtId="38" fontId="45" fillId="40" borderId="0" applyNumberFormat="0" applyBorder="0" applyAlignment="0" applyProtection="0"/>
    <xf numFmtId="0" fontId="43" fillId="0" borderId="32" applyNumberFormat="0" applyAlignment="0" applyProtection="0">
      <alignment horizontal="left" vertical="center"/>
    </xf>
    <xf numFmtId="0" fontId="43" fillId="0" borderId="32" applyNumberFormat="0" applyAlignment="0" applyProtection="0">
      <alignment horizontal="left" vertical="center"/>
    </xf>
    <xf numFmtId="0" fontId="43" fillId="0" borderId="19">
      <alignment horizontal="left" vertical="center"/>
    </xf>
    <xf numFmtId="0" fontId="43" fillId="0" borderId="19">
      <alignment horizontal="left" vertical="center"/>
    </xf>
    <xf numFmtId="0" fontId="32" fillId="0" borderId="34" applyNumberFormat="0" applyFill="0" applyAlignment="0" applyProtection="0"/>
    <xf numFmtId="0" fontId="70" fillId="0" borderId="46" applyNumberFormat="0" applyFill="0" applyAlignment="0" applyProtection="0"/>
    <xf numFmtId="0" fontId="71" fillId="0" borderId="46" applyNumberFormat="0" applyFill="0" applyAlignment="0" applyProtection="0"/>
    <xf numFmtId="0" fontId="33" fillId="0" borderId="35" applyNumberFormat="0" applyFill="0" applyAlignment="0" applyProtection="0"/>
    <xf numFmtId="0" fontId="72" fillId="0" borderId="47" applyNumberFormat="0" applyFill="0" applyAlignment="0" applyProtection="0"/>
    <xf numFmtId="0" fontId="73" fillId="0" borderId="47" applyNumberFormat="0" applyFill="0" applyAlignment="0" applyProtection="0"/>
    <xf numFmtId="0" fontId="34" fillId="0" borderId="36" applyNumberFormat="0" applyFill="0" applyAlignment="0" applyProtection="0"/>
    <xf numFmtId="0" fontId="74" fillId="0" borderId="48" applyNumberFormat="0" applyFill="0" applyAlignment="0" applyProtection="0"/>
    <xf numFmtId="0" fontId="75" fillId="0" borderId="48" applyNumberFormat="0" applyFill="0" applyAlignment="0" applyProtection="0"/>
    <xf numFmtId="0" fontId="3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alignment vertical="top"/>
      <protection locked="0"/>
    </xf>
    <xf numFmtId="10" fontId="45" fillId="42" borderId="21" applyNumberFormat="0" applyBorder="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35" fillId="13" borderId="37" applyNumberFormat="0" applyAlignment="0" applyProtection="0"/>
    <xf numFmtId="0" fontId="79"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0" fontId="78" fillId="48" borderId="43" applyNumberFormat="0" applyAlignment="0" applyProtection="0"/>
    <xf numFmtId="166" fontId="19" fillId="0" borderId="0" applyFont="0" applyFill="0" applyBorder="0" applyAlignment="0" applyProtection="0"/>
    <xf numFmtId="166" fontId="19" fillId="0" borderId="0" applyFont="0" applyFill="0" applyBorder="0" applyAlignment="0" applyProtection="0"/>
    <xf numFmtId="3" fontId="63" fillId="0" borderId="0" applyFont="0" applyFill="0" applyBorder="0" applyAlignment="0" applyProtection="0"/>
    <xf numFmtId="0" fontId="60" fillId="63" borderId="49">
      <alignment horizontal="center" vertical="center" wrapText="1"/>
    </xf>
    <xf numFmtId="0" fontId="38" fillId="0" borderId="39" applyNumberFormat="0" applyFill="0" applyAlignment="0" applyProtection="0"/>
    <xf numFmtId="0" fontId="80" fillId="0" borderId="50" applyNumberFormat="0" applyFill="0" applyAlignment="0" applyProtection="0"/>
    <xf numFmtId="0" fontId="81" fillId="0" borderId="50" applyNumberFormat="0" applyFill="0" applyAlignment="0" applyProtection="0"/>
    <xf numFmtId="183" fontId="82" fillId="40" borderId="27">
      <alignment horizontal="left"/>
    </xf>
    <xf numFmtId="183" fontId="82" fillId="40" borderId="27">
      <alignment horizontal="left"/>
    </xf>
    <xf numFmtId="0" fontId="58" fillId="64" borderId="0"/>
    <xf numFmtId="0" fontId="58" fillId="64" borderId="0"/>
    <xf numFmtId="184" fontId="19" fillId="0" borderId="0" applyFont="0" applyFill="0" applyBorder="0" applyAlignment="0" applyProtection="0"/>
    <xf numFmtId="185" fontId="19" fillId="0" borderId="0" applyFont="0" applyFill="0" applyBorder="0" applyAlignment="0" applyProtection="0"/>
    <xf numFmtId="164" fontId="83" fillId="0" borderId="0" applyFont="0" applyFill="0" applyBorder="0" applyAlignment="0" applyProtection="0"/>
    <xf numFmtId="165" fontId="83" fillId="0" borderId="0" applyFont="0" applyFill="0" applyBorder="0" applyAlignment="0" applyProtection="0"/>
    <xf numFmtId="186" fontId="19"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0" fontId="29" fillId="12" borderId="0" applyNumberFormat="0" applyBorder="0" applyAlignment="0" applyProtection="0"/>
    <xf numFmtId="0" fontId="84" fillId="65" borderId="0" applyNumberFormat="0" applyBorder="0" applyAlignment="0" applyProtection="0"/>
    <xf numFmtId="0" fontId="85" fillId="65" borderId="0" applyNumberFormat="0" applyBorder="0" applyAlignment="0" applyProtection="0"/>
    <xf numFmtId="0" fontId="85" fillId="65" borderId="0" applyNumberFormat="0" applyBorder="0" applyAlignment="0" applyProtection="0"/>
    <xf numFmtId="0" fontId="86" fillId="12" borderId="0" applyNumberFormat="0" applyBorder="0" applyAlignment="0" applyProtection="0"/>
    <xf numFmtId="0" fontId="84" fillId="65" borderId="0" applyNumberFormat="0" applyBorder="0" applyAlignment="0" applyProtection="0"/>
    <xf numFmtId="189" fontId="8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19" fillId="0" borderId="0"/>
    <xf numFmtId="0" fontId="7"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7" fillId="8" borderId="31" applyNumberFormat="0" applyFont="0" applyAlignment="0" applyProtection="0"/>
    <xf numFmtId="0" fontId="50" fillId="8" borderId="31" applyNumberFormat="0" applyFont="0" applyAlignment="0" applyProtection="0"/>
    <xf numFmtId="0" fontId="50" fillId="66" borderId="51" applyNumberFormat="0" applyFont="0" applyAlignment="0" applyProtection="0"/>
    <xf numFmtId="0" fontId="19" fillId="66" borderId="51" applyNumberFormat="0" applyFont="0" applyAlignment="0" applyProtection="0"/>
    <xf numFmtId="0" fontId="7" fillId="8" borderId="31" applyNumberFormat="0" applyFont="0" applyAlignment="0" applyProtection="0"/>
    <xf numFmtId="0" fontId="36" fillId="14" borderId="38" applyNumberFormat="0" applyAlignment="0" applyProtection="0"/>
    <xf numFmtId="0" fontId="88" fillId="61" borderId="52" applyNumberFormat="0" applyAlignment="0" applyProtection="0"/>
    <xf numFmtId="0" fontId="89" fillId="61" borderId="52" applyNumberFormat="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0" fillId="0" borderId="0" applyFont="0" applyFill="0" applyBorder="0" applyAlignment="0" applyProtection="0"/>
    <xf numFmtId="9" fontId="61" fillId="0" borderId="0" applyFont="0" applyFill="0" applyBorder="0" applyAlignment="0" applyProtection="0"/>
    <xf numFmtId="9" fontId="19" fillId="0" borderId="0" applyFont="0" applyFill="0" applyBorder="0" applyAlignment="0" applyProtection="0"/>
    <xf numFmtId="9" fontId="61" fillId="0" borderId="0" applyFont="0" applyFill="0" applyBorder="0" applyAlignment="0" applyProtection="0"/>
    <xf numFmtId="9" fontId="19" fillId="0" borderId="0" applyFont="0" applyFill="0" applyBorder="0" applyAlignment="0" applyProtection="0"/>
    <xf numFmtId="9" fontId="61" fillId="0" borderId="0" applyFont="0" applyFill="0" applyBorder="0" applyAlignment="0" applyProtection="0"/>
    <xf numFmtId="9" fontId="19" fillId="0" borderId="0" applyFont="0" applyFill="0" applyBorder="0" applyAlignment="0" applyProtection="0"/>
    <xf numFmtId="9" fontId="6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0" fontId="63" fillId="0" borderId="0" applyFont="0" applyFill="0" applyBorder="0" applyAlignment="0" applyProtection="0"/>
    <xf numFmtId="9" fontId="64" fillId="0" borderId="0" applyFont="0" applyFill="0" applyBorder="0" applyAlignment="0" applyProtection="0"/>
    <xf numFmtId="10" fontId="64" fillId="0" borderId="0" applyFont="0" applyFill="0" applyBorder="0" applyAlignment="0" applyProtection="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45" fillId="0" borderId="0"/>
    <xf numFmtId="0" fontId="90" fillId="0" borderId="0"/>
    <xf numFmtId="0" fontId="91" fillId="0" borderId="0"/>
    <xf numFmtId="0" fontId="19" fillId="0" borderId="0"/>
    <xf numFmtId="0" fontId="19" fillId="0" borderId="0"/>
    <xf numFmtId="0" fontId="31"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 fillId="0" borderId="41" applyNumberFormat="0" applyFill="0" applyAlignment="0" applyProtection="0"/>
    <xf numFmtId="0" fontId="93" fillId="0" borderId="53" applyNumberFormat="0" applyFill="0" applyAlignment="0" applyProtection="0"/>
    <xf numFmtId="0" fontId="44" fillId="0" borderId="53" applyNumberFormat="0" applyFill="0" applyAlignment="0" applyProtection="0"/>
    <xf numFmtId="19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91"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192"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6" fontId="19" fillId="0" borderId="0" applyFont="0" applyFill="0" applyBorder="0" applyAlignment="0" applyProtection="0"/>
    <xf numFmtId="193" fontId="19" fillId="0" borderId="0" applyFont="0" applyFill="0" applyBorder="0" applyAlignment="0" applyProtection="0"/>
    <xf numFmtId="194" fontId="63" fillId="0" borderId="0" applyFont="0" applyFill="0" applyBorder="0" applyAlignment="0" applyProtection="0"/>
    <xf numFmtId="195" fontId="90" fillId="0" borderId="0" applyFont="0" applyFill="0" applyBorder="0" applyAlignment="0" applyProtection="0"/>
    <xf numFmtId="196" fontId="90" fillId="0" borderId="0" applyFon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8" fillId="0" borderId="0">
      <alignment vertical="center"/>
    </xf>
    <xf numFmtId="0" fontId="99" fillId="0" borderId="0"/>
    <xf numFmtId="0" fontId="98" fillId="0" borderId="0">
      <alignment vertical="center"/>
    </xf>
    <xf numFmtId="38" fontId="100" fillId="0" borderId="0" applyFont="0" applyFill="0" applyBorder="0" applyAlignment="0" applyProtection="0"/>
    <xf numFmtId="38" fontId="100" fillId="0" borderId="0" applyFont="0" applyFill="0" applyBorder="0" applyAlignment="0" applyProtection="0"/>
    <xf numFmtId="0" fontId="83" fillId="0" borderId="0"/>
    <xf numFmtId="0" fontId="83" fillId="0" borderId="0"/>
    <xf numFmtId="0" fontId="83" fillId="0" borderId="0"/>
    <xf numFmtId="0" fontId="83" fillId="0" borderId="0"/>
    <xf numFmtId="0" fontId="100" fillId="0" borderId="0"/>
    <xf numFmtId="0" fontId="83" fillId="0" borderId="0"/>
    <xf numFmtId="0" fontId="83" fillId="0" borderId="0"/>
    <xf numFmtId="0" fontId="100" fillId="0" borderId="0"/>
    <xf numFmtId="0" fontId="100" fillId="0" borderId="0"/>
    <xf numFmtId="0" fontId="108" fillId="0" borderId="0"/>
    <xf numFmtId="0" fontId="109" fillId="0" borderId="0"/>
    <xf numFmtId="0" fontId="76"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0" fontId="45" fillId="42" borderId="54"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60" fillId="63" borderId="143">
      <alignment horizontal="center" vertical="center" wrapText="1"/>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cellStyleXfs>
  <cellXfs count="1072">
    <xf numFmtId="0" fontId="0" fillId="0" borderId="0" xfId="0"/>
    <xf numFmtId="0" fontId="0" fillId="0" borderId="0" xfId="0" applyAlignment="1">
      <alignment horizontal="center" vertical="center" wrapText="1"/>
    </xf>
    <xf numFmtId="0" fontId="0" fillId="0" borderId="0" xfId="0" applyAlignment="1">
      <alignment horizontal="center"/>
    </xf>
    <xf numFmtId="167" fontId="0" fillId="0" borderId="0" xfId="0" applyNumberForma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0" fillId="0" borderId="0" xfId="0" applyNumberFormat="1" applyAlignment="1">
      <alignment horizontal="center"/>
    </xf>
    <xf numFmtId="168" fontId="0" fillId="0" borderId="0" xfId="0" applyNumberFormat="1" applyAlignment="1">
      <alignment horizontal="center"/>
    </xf>
    <xf numFmtId="0" fontId="3" fillId="0" borderId="0" xfId="0" applyFont="1" applyAlignment="1">
      <alignment horizontal="center"/>
    </xf>
    <xf numFmtId="0" fontId="5" fillId="3" borderId="14" xfId="0"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xf numFmtId="0" fontId="0" fillId="0" borderId="15" xfId="0" applyBorder="1" applyAlignment="1">
      <alignment horizontal="center"/>
    </xf>
    <xf numFmtId="0" fontId="2" fillId="2" borderId="15" xfId="0" applyFont="1" applyFill="1" applyBorder="1" applyAlignment="1">
      <alignment horizontal="center"/>
    </xf>
    <xf numFmtId="0" fontId="0" fillId="0" borderId="15" xfId="0" applyBorder="1"/>
    <xf numFmtId="0" fontId="0" fillId="0" borderId="16" xfId="0" applyBorder="1" applyAlignment="1">
      <alignment horizontal="center"/>
    </xf>
    <xf numFmtId="0" fontId="0" fillId="0" borderId="14" xfId="0" applyBorder="1" applyAlignment="1">
      <alignment horizontal="center"/>
    </xf>
    <xf numFmtId="0" fontId="0" fillId="0" borderId="17" xfId="0" applyBorder="1"/>
    <xf numFmtId="0" fontId="0" fillId="0" borderId="4" xfId="0" applyBorder="1" applyAlignment="1">
      <alignment horizontal="right"/>
    </xf>
    <xf numFmtId="0" fontId="0" fillId="0" borderId="0" xfId="0" applyAlignment="1">
      <alignment horizontal="center"/>
    </xf>
    <xf numFmtId="0" fontId="0" fillId="0" borderId="0" xfId="0" applyAlignment="1">
      <alignment horizontal="left"/>
    </xf>
    <xf numFmtId="0" fontId="0" fillId="0" borderId="0" xfId="0" applyProtection="1">
      <protection hidden="1"/>
    </xf>
    <xf numFmtId="0" fontId="6" fillId="0" borderId="0" xfId="0" applyFont="1" applyProtection="1">
      <protection hidden="1"/>
    </xf>
    <xf numFmtId="0" fontId="9" fillId="0" borderId="0" xfId="0" applyFont="1" applyAlignment="1" applyProtection="1">
      <alignment vertical="top"/>
      <protection hidden="1"/>
    </xf>
    <xf numFmtId="0" fontId="0" fillId="0" borderId="0" xfId="0" applyAlignment="1" applyProtection="1">
      <alignment horizontal="center"/>
      <protection hidden="1"/>
    </xf>
    <xf numFmtId="0" fontId="0" fillId="0" borderId="0" xfId="0" applyFill="1" applyProtection="1">
      <protection hidden="1"/>
    </xf>
    <xf numFmtId="0" fontId="0" fillId="0" borderId="0" xfId="0" applyAlignment="1" applyProtection="1">
      <alignment vertical="center"/>
      <protection hidden="1"/>
    </xf>
    <xf numFmtId="11" fontId="0" fillId="0" borderId="0" xfId="0" applyNumberFormat="1" applyAlignment="1" applyProtection="1">
      <alignment horizontal="center"/>
      <protection hidden="1"/>
    </xf>
    <xf numFmtId="0" fontId="13" fillId="4" borderId="15" xfId="0" applyFont="1" applyFill="1" applyBorder="1" applyAlignment="1">
      <alignment horizontal="center"/>
    </xf>
    <xf numFmtId="0" fontId="0" fillId="0" borderId="0" xfId="0" applyAlignment="1">
      <alignment horizontal="center"/>
    </xf>
    <xf numFmtId="0" fontId="0" fillId="0" borderId="10" xfId="0" applyBorder="1"/>
    <xf numFmtId="0" fontId="14" fillId="0" borderId="11" xfId="0" applyFont="1" applyBorder="1"/>
    <xf numFmtId="0" fontId="0" fillId="0" borderId="11" xfId="0" applyBorder="1"/>
    <xf numFmtId="0" fontId="0" fillId="0" borderId="13" xfId="0" applyBorder="1"/>
    <xf numFmtId="0" fontId="0" fillId="0" borderId="1" xfId="0" applyBorder="1"/>
    <xf numFmtId="0" fontId="0" fillId="0" borderId="0" xfId="0" applyBorder="1"/>
    <xf numFmtId="0" fontId="0" fillId="0" borderId="12" xfId="0" applyBorder="1"/>
    <xf numFmtId="0" fontId="0" fillId="0" borderId="0" xfId="0" applyBorder="1" applyAlignment="1">
      <alignment horizontal="center"/>
    </xf>
    <xf numFmtId="167" fontId="0" fillId="0" borderId="0" xfId="0" applyNumberFormat="1" applyBorder="1"/>
    <xf numFmtId="0" fontId="17" fillId="0" borderId="0" xfId="0" applyFont="1" applyBorder="1"/>
    <xf numFmtId="0" fontId="0" fillId="0" borderId="3" xfId="0" applyBorder="1"/>
    <xf numFmtId="0" fontId="0" fillId="0" borderId="4" xfId="0" applyBorder="1"/>
    <xf numFmtId="0" fontId="15" fillId="5" borderId="0" xfId="0" applyNumberFormat="1" applyFont="1" applyFill="1" applyBorder="1" applyAlignment="1" applyProtection="1">
      <alignment horizontal="center"/>
      <protection locked="0"/>
    </xf>
    <xf numFmtId="1" fontId="17" fillId="6" borderId="0" xfId="0" applyNumberFormat="1" applyFont="1" applyFill="1" applyBorder="1" applyAlignment="1">
      <alignment horizontal="center"/>
    </xf>
    <xf numFmtId="167" fontId="17" fillId="6" borderId="0" xfId="0" applyNumberFormat="1" applyFont="1" applyFill="1" applyBorder="1" applyAlignment="1">
      <alignment horizontal="center"/>
    </xf>
    <xf numFmtId="0" fontId="17" fillId="6" borderId="0" xfId="0" applyNumberFormat="1" applyFont="1" applyFill="1" applyBorder="1" applyAlignment="1">
      <alignment horizontal="center"/>
    </xf>
    <xf numFmtId="2" fontId="17" fillId="0" borderId="3" xfId="0" applyNumberFormat="1" applyFont="1" applyBorder="1" applyAlignment="1">
      <alignment horizontal="center"/>
    </xf>
    <xf numFmtId="0" fontId="3" fillId="0" borderId="0" xfId="0" applyFont="1"/>
    <xf numFmtId="171" fontId="0" fillId="0" borderId="0" xfId="0" applyNumberFormat="1" applyAlignment="1">
      <alignment horizontal="center"/>
    </xf>
    <xf numFmtId="0" fontId="21"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Font="1" applyAlignment="1" applyProtection="1">
      <alignment horizontal="center"/>
      <protection hidden="1"/>
    </xf>
    <xf numFmtId="0" fontId="0" fillId="0" borderId="0" xfId="0" applyAlignment="1">
      <alignment horizontal="center"/>
    </xf>
    <xf numFmtId="0" fontId="3" fillId="0" borderId="0" xfId="0" applyFont="1" applyAlignment="1">
      <alignment horizontal="left"/>
    </xf>
    <xf numFmtId="0" fontId="18" fillId="0" borderId="0" xfId="0" applyFont="1" applyAlignment="1" applyProtection="1">
      <alignment vertical="center"/>
      <protection hidden="1"/>
    </xf>
    <xf numFmtId="0" fontId="22" fillId="0" borderId="0" xfId="0" applyFont="1" applyProtection="1">
      <protection hidden="1"/>
    </xf>
    <xf numFmtId="0" fontId="0" fillId="0" borderId="0" xfId="0" applyAlignment="1">
      <alignment horizontal="center"/>
    </xf>
    <xf numFmtId="0" fontId="0" fillId="0" borderId="0" xfId="0" applyFill="1" applyBorder="1"/>
    <xf numFmtId="0" fontId="19" fillId="0" borderId="0" xfId="0" applyFont="1" applyFill="1" applyBorder="1"/>
    <xf numFmtId="0" fontId="23" fillId="0" borderId="0" xfId="0" applyFont="1" applyProtection="1">
      <protection hidden="1"/>
    </xf>
    <xf numFmtId="0" fontId="3" fillId="0" borderId="0" xfId="0" applyFont="1" applyProtection="1">
      <protection hidden="1"/>
    </xf>
    <xf numFmtId="0" fontId="2" fillId="0" borderId="0" xfId="0" applyFont="1"/>
    <xf numFmtId="0" fontId="17" fillId="0" borderId="1" xfId="0" applyFont="1" applyBorder="1" applyAlignment="1"/>
    <xf numFmtId="0" fontId="0" fillId="0" borderId="0" xfId="0" applyBorder="1" applyAlignment="1"/>
    <xf numFmtId="0" fontId="17" fillId="0" borderId="2" xfId="0" applyFont="1" applyBorder="1" applyAlignment="1"/>
    <xf numFmtId="0" fontId="0" fillId="0" borderId="3" xfId="0" applyBorder="1" applyAlignment="1"/>
    <xf numFmtId="0" fontId="17" fillId="0" borderId="3" xfId="0" applyFont="1" applyBorder="1" applyAlignment="1"/>
    <xf numFmtId="0" fontId="0" fillId="0" borderId="24" xfId="0" applyBorder="1"/>
    <xf numFmtId="0" fontId="0" fillId="0" borderId="9" xfId="0" applyBorder="1"/>
    <xf numFmtId="0" fontId="0" fillId="0" borderId="9" xfId="0" applyFill="1" applyBorder="1"/>
    <xf numFmtId="0" fontId="0" fillId="0" borderId="26" xfId="0" applyFill="1" applyBorder="1"/>
    <xf numFmtId="0" fontId="0" fillId="0" borderId="23" xfId="0" applyBorder="1"/>
    <xf numFmtId="0" fontId="0" fillId="0" borderId="25" xfId="0" applyBorder="1"/>
    <xf numFmtId="0" fontId="0" fillId="0" borderId="27" xfId="0" applyBorder="1"/>
    <xf numFmtId="0" fontId="2" fillId="0" borderId="9" xfId="0" applyFont="1" applyBorder="1"/>
    <xf numFmtId="0" fontId="0" fillId="0" borderId="29" xfId="0" applyBorder="1"/>
    <xf numFmtId="0" fontId="0" fillId="0" borderId="8" xfId="0" applyBorder="1"/>
    <xf numFmtId="0" fontId="0" fillId="0" borderId="30" xfId="0" applyBorder="1"/>
    <xf numFmtId="0" fontId="24" fillId="0" borderId="0" xfId="0" applyFont="1" applyFill="1" applyBorder="1"/>
    <xf numFmtId="0" fontId="0" fillId="0" borderId="22" xfId="0" applyBorder="1"/>
    <xf numFmtId="0" fontId="24" fillId="0" borderId="0" xfId="0" applyFont="1" applyBorder="1"/>
    <xf numFmtId="0" fontId="24" fillId="0" borderId="28" xfId="0" applyFont="1" applyBorder="1"/>
    <xf numFmtId="0" fontId="0" fillId="0" borderId="27" xfId="0" applyBorder="1" applyAlignment="1">
      <alignment horizontal="center"/>
    </xf>
    <xf numFmtId="0" fontId="0" fillId="0" borderId="9" xfId="0" applyBorder="1" applyAlignment="1">
      <alignment horizontal="center"/>
    </xf>
    <xf numFmtId="0" fontId="20" fillId="0" borderId="0" xfId="0" applyFont="1" applyBorder="1"/>
    <xf numFmtId="0" fontId="20" fillId="0" borderId="9" xfId="0" applyFont="1" applyBorder="1"/>
    <xf numFmtId="0" fontId="3" fillId="0" borderId="24" xfId="0" applyFont="1" applyBorder="1" applyAlignment="1">
      <alignment horizontal="center"/>
    </xf>
    <xf numFmtId="0" fontId="3" fillId="0" borderId="0" xfId="0" applyFont="1" applyBorder="1"/>
    <xf numFmtId="0" fontId="3" fillId="0" borderId="9" xfId="0" applyFont="1" applyBorder="1"/>
    <xf numFmtId="0" fontId="0" fillId="0" borderId="28" xfId="0" applyBorder="1"/>
    <xf numFmtId="0" fontId="0" fillId="0" borderId="26" xfId="0" applyBorder="1"/>
    <xf numFmtId="0" fontId="2" fillId="0" borderId="22" xfId="0" applyFont="1" applyBorder="1"/>
    <xf numFmtId="0" fontId="3" fillId="0" borderId="24" xfId="0" applyFont="1" applyBorder="1"/>
    <xf numFmtId="9" fontId="0" fillId="0" borderId="0" xfId="0" applyNumberFormat="1" applyBorder="1"/>
    <xf numFmtId="9" fontId="0" fillId="0" borderId="28" xfId="0" applyNumberFormat="1" applyBorder="1"/>
    <xf numFmtId="0" fontId="2" fillId="0" borderId="18" xfId="0" applyFont="1" applyBorder="1"/>
    <xf numFmtId="0" fontId="2" fillId="0" borderId="19" xfId="0" applyFont="1" applyBorder="1"/>
    <xf numFmtId="0" fontId="2" fillId="0" borderId="20" xfId="0" applyFont="1" applyBorder="1"/>
    <xf numFmtId="0" fontId="3" fillId="0" borderId="18" xfId="0" applyFont="1" applyBorder="1"/>
    <xf numFmtId="0" fontId="3" fillId="0" borderId="20" xfId="0" applyFont="1" applyBorder="1"/>
    <xf numFmtId="0" fontId="3" fillId="0" borderId="19" xfId="0" applyFont="1" applyBorder="1"/>
    <xf numFmtId="9" fontId="3" fillId="0" borderId="19" xfId="1" applyFont="1" applyBorder="1"/>
    <xf numFmtId="0" fontId="0" fillId="0" borderId="20" xfId="0" applyBorder="1"/>
    <xf numFmtId="0" fontId="24" fillId="0" borderId="28" xfId="0" applyFont="1" applyFill="1" applyBorder="1"/>
    <xf numFmtId="0" fontId="0" fillId="0" borderId="18" xfId="0" applyBorder="1"/>
    <xf numFmtId="0" fontId="0" fillId="0" borderId="19" xfId="0" applyFill="1" applyBorder="1"/>
    <xf numFmtId="0" fontId="20" fillId="0" borderId="24" xfId="0" applyFont="1" applyBorder="1"/>
    <xf numFmtId="0" fontId="0" fillId="0" borderId="0" xfId="0" applyBorder="1" applyAlignment="1">
      <alignment horizontal="left" vertical="center"/>
    </xf>
    <xf numFmtId="0" fontId="0" fillId="0" borderId="24" xfId="0" applyBorder="1" applyAlignment="1">
      <alignment horizontal="center"/>
    </xf>
    <xf numFmtId="0" fontId="0" fillId="7" borderId="0" xfId="0" applyFill="1" applyBorder="1"/>
    <xf numFmtId="0" fontId="0" fillId="7" borderId="0" xfId="0" applyFill="1" applyBorder="1" applyAlignment="1">
      <alignment horizontal="center"/>
    </xf>
    <xf numFmtId="0" fontId="0" fillId="0" borderId="0" xfId="0" applyBorder="1" applyAlignment="1">
      <alignment horizontal="left"/>
    </xf>
    <xf numFmtId="2" fontId="0" fillId="7" borderId="0" xfId="0" applyNumberFormat="1" applyFill="1" applyBorder="1" applyAlignment="1">
      <alignment horizontal="center"/>
    </xf>
    <xf numFmtId="0" fontId="0" fillId="0" borderId="28" xfId="0" applyBorder="1" applyAlignment="1">
      <alignment horizontal="center"/>
    </xf>
    <xf numFmtId="0" fontId="0" fillId="0" borderId="0" xfId="0" quotePrefix="1" applyAlignment="1">
      <alignment horizontal="center"/>
    </xf>
    <xf numFmtId="0" fontId="0" fillId="0" borderId="0" xfId="0" quotePrefix="1"/>
    <xf numFmtId="0" fontId="0" fillId="0" borderId="0" xfId="0" quotePrefix="1" applyFill="1" applyBorder="1"/>
    <xf numFmtId="0" fontId="0" fillId="0" borderId="0" xfId="0" quotePrefix="1" applyBorder="1" applyAlignment="1">
      <alignment horizontal="center"/>
    </xf>
    <xf numFmtId="0" fontId="0" fillId="0" borderId="28" xfId="0" applyBorder="1" applyAlignment="1">
      <alignment horizontal="left"/>
    </xf>
    <xf numFmtId="0" fontId="2" fillId="0" borderId="0" xfId="0" applyFont="1" applyFill="1" applyBorder="1" applyAlignment="1">
      <alignment horizontal="center"/>
    </xf>
    <xf numFmtId="0" fontId="24" fillId="0" borderId="0" xfId="0" quotePrefix="1" applyFont="1" applyFill="1" applyBorder="1" applyAlignment="1">
      <alignment horizontal="center"/>
    </xf>
    <xf numFmtId="0" fontId="24" fillId="0" borderId="0" xfId="0" quotePrefix="1" applyFont="1" applyBorder="1" applyAlignment="1">
      <alignment horizontal="center"/>
    </xf>
    <xf numFmtId="0" fontId="24" fillId="0" borderId="0" xfId="0" quotePrefix="1" applyFont="1" applyBorder="1" applyAlignment="1">
      <alignment horizontal="center" vertical="center"/>
    </xf>
    <xf numFmtId="0" fontId="24" fillId="0" borderId="9" xfId="0" quotePrefix="1" applyFont="1" applyFill="1" applyBorder="1" applyAlignment="1">
      <alignment horizontal="center"/>
    </xf>
    <xf numFmtId="0" fontId="24" fillId="0" borderId="26" xfId="0" quotePrefix="1" applyFont="1" applyFill="1" applyBorder="1" applyAlignment="1">
      <alignment horizontal="center"/>
    </xf>
    <xf numFmtId="0" fontId="24" fillId="0" borderId="28" xfId="0" quotePrefix="1" applyFont="1" applyFill="1" applyBorder="1" applyAlignment="1">
      <alignment horizontal="center"/>
    </xf>
    <xf numFmtId="0" fontId="0" fillId="0" borderId="19" xfId="0" applyBorder="1"/>
    <xf numFmtId="0" fontId="0" fillId="0" borderId="0" xfId="0" quotePrefix="1" applyFill="1" applyBorder="1" applyAlignment="1">
      <alignment horizontal="center"/>
    </xf>
    <xf numFmtId="0" fontId="2" fillId="0" borderId="24" xfId="0" applyFont="1" applyBorder="1"/>
    <xf numFmtId="0" fontId="2" fillId="0" borderId="0" xfId="0" applyFont="1" applyBorder="1" applyAlignment="1">
      <alignment horizontal="center"/>
    </xf>
    <xf numFmtId="0" fontId="2" fillId="0" borderId="27" xfId="0" applyFont="1" applyBorder="1"/>
    <xf numFmtId="0" fontId="0" fillId="0" borderId="0" xfId="0" applyAlignment="1">
      <alignment horizontal="center"/>
    </xf>
    <xf numFmtId="14" fontId="0" fillId="0" borderId="0" xfId="0" applyNumberFormat="1" applyProtection="1">
      <protection hidden="1"/>
    </xf>
    <xf numFmtId="3" fontId="0" fillId="0" borderId="24" xfId="0" applyNumberFormat="1" applyBorder="1" applyAlignment="1">
      <alignment horizontal="center"/>
    </xf>
    <xf numFmtId="3" fontId="0" fillId="0" borderId="25" xfId="0" applyNumberFormat="1" applyBorder="1" applyAlignment="1">
      <alignment horizontal="center"/>
    </xf>
    <xf numFmtId="0" fontId="0" fillId="0" borderId="30" xfId="0" applyFont="1" applyBorder="1"/>
    <xf numFmtId="0" fontId="0" fillId="0" borderId="0" xfId="0" applyFill="1" applyBorder="1" applyAlignment="1">
      <alignment horizontal="center"/>
    </xf>
    <xf numFmtId="0" fontId="3" fillId="0" borderId="25" xfId="0" applyFont="1" applyBorder="1"/>
    <xf numFmtId="0" fontId="3" fillId="0" borderId="0" xfId="0" applyFont="1" applyFill="1" applyBorder="1" applyAlignment="1">
      <alignment horizontal="center"/>
    </xf>
    <xf numFmtId="0" fontId="0" fillId="0" borderId="27" xfId="0" applyFont="1" applyFill="1" applyBorder="1" applyAlignment="1">
      <alignment horizontal="center"/>
    </xf>
    <xf numFmtId="0" fontId="0" fillId="0" borderId="23" xfId="0" applyFont="1" applyFill="1" applyBorder="1" applyAlignment="1">
      <alignment horizontal="center"/>
    </xf>
    <xf numFmtId="0" fontId="2" fillId="0" borderId="0" xfId="0" applyFont="1" applyBorder="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8" xfId="0" quotePrefix="1"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0" xfId="0" applyFill="1" applyBorder="1" applyAlignment="1">
      <alignment horizontal="left" vertical="center"/>
    </xf>
    <xf numFmtId="0" fontId="0" fillId="0" borderId="0" xfId="0" quotePrefix="1" applyBorder="1"/>
    <xf numFmtId="0" fontId="0" fillId="0" borderId="28" xfId="0" quotePrefix="1" applyBorder="1"/>
    <xf numFmtId="0" fontId="0" fillId="0" borderId="28" xfId="0" quotePrefix="1" applyFill="1" applyBorder="1"/>
    <xf numFmtId="0" fontId="2" fillId="0" borderId="0" xfId="0" applyFont="1" applyBorder="1"/>
    <xf numFmtId="0" fontId="0" fillId="0" borderId="21" xfId="0" applyBorder="1"/>
    <xf numFmtId="0" fontId="0" fillId="0" borderId="0" xfId="0" quotePrefix="1" applyNumberFormat="1" applyBorder="1"/>
    <xf numFmtId="0" fontId="3" fillId="0" borderId="30" xfId="0" applyFont="1" applyBorder="1"/>
    <xf numFmtId="0" fontId="20" fillId="0" borderId="25" xfId="0" applyFont="1" applyBorder="1"/>
    <xf numFmtId="0" fontId="26" fillId="9" borderId="0" xfId="3" applyBorder="1"/>
    <xf numFmtId="0" fontId="27" fillId="10" borderId="0" xfId="4" applyBorder="1"/>
    <xf numFmtId="0" fontId="27" fillId="10" borderId="28" xfId="4" applyBorder="1"/>
    <xf numFmtId="0" fontId="26" fillId="9" borderId="0" xfId="3" quotePrefix="1" applyNumberFormat="1" applyBorder="1"/>
    <xf numFmtId="0" fontId="26" fillId="9" borderId="0" xfId="3" quotePrefix="1" applyBorder="1"/>
    <xf numFmtId="0" fontId="0" fillId="0" borderId="0" xfId="0" applyAlignment="1">
      <alignment horizontal="center"/>
    </xf>
    <xf numFmtId="0" fontId="3" fillId="0" borderId="0" xfId="4" quotePrefix="1" applyFont="1" applyFill="1" applyBorder="1"/>
    <xf numFmtId="0" fontId="3" fillId="0" borderId="0" xfId="4" applyFont="1" applyFill="1" applyBorder="1"/>
    <xf numFmtId="0" fontId="26" fillId="9" borderId="28" xfId="3" quotePrefix="1" applyBorder="1"/>
    <xf numFmtId="0" fontId="26" fillId="9" borderId="28" xfId="3" applyBorder="1"/>
    <xf numFmtId="0" fontId="2" fillId="0" borderId="0" xfId="0" applyFont="1" applyFill="1" applyBorder="1" applyAlignment="1">
      <alignment horizontal="left"/>
    </xf>
    <xf numFmtId="0" fontId="0" fillId="0" borderId="0" xfId="0" applyFill="1" applyBorder="1" applyAlignment="1"/>
    <xf numFmtId="9" fontId="26" fillId="9" borderId="0" xfId="1" applyFont="1" applyFill="1" applyBorder="1"/>
    <xf numFmtId="9" fontId="26" fillId="9" borderId="28" xfId="1" applyFont="1" applyFill="1" applyBorder="1"/>
    <xf numFmtId="0" fontId="2" fillId="0" borderId="23" xfId="0" applyFont="1" applyBorder="1"/>
    <xf numFmtId="0" fontId="20" fillId="0" borderId="28" xfId="0" applyFont="1" applyBorder="1"/>
    <xf numFmtId="14" fontId="0" fillId="0" borderId="0" xfId="0" applyNumberFormat="1"/>
    <xf numFmtId="2" fontId="0" fillId="0" borderId="0" xfId="0" applyNumberFormat="1" applyBorder="1" applyAlignment="1">
      <alignment horizontal="center"/>
    </xf>
    <xf numFmtId="172" fontId="0" fillId="0" borderId="0" xfId="0" applyNumberFormat="1" applyAlignment="1">
      <alignment horizontal="center"/>
    </xf>
    <xf numFmtId="2" fontId="0" fillId="0" borderId="0" xfId="0" applyNumberFormat="1"/>
    <xf numFmtId="171" fontId="0" fillId="0" borderId="0" xfId="0" applyNumberFormat="1"/>
    <xf numFmtId="172" fontId="0" fillId="0" borderId="0" xfId="0" applyNumberFormat="1"/>
    <xf numFmtId="0" fontId="0" fillId="11" borderId="23" xfId="0" applyFill="1" applyBorder="1"/>
    <xf numFmtId="0" fontId="0" fillId="11" borderId="9" xfId="0" applyFill="1" applyBorder="1"/>
    <xf numFmtId="0" fontId="0" fillId="11" borderId="26" xfId="0" applyFill="1" applyBorder="1"/>
    <xf numFmtId="0" fontId="2" fillId="0" borderId="29" xfId="0" applyFont="1" applyBorder="1"/>
    <xf numFmtId="0" fontId="0" fillId="0" borderId="0" xfId="0" applyAlignment="1">
      <alignment horizontal="center"/>
    </xf>
    <xf numFmtId="0" fontId="0" fillId="0" borderId="27" xfId="0" applyBorder="1" applyAlignment="1">
      <alignment horizontal="left" vertical="top"/>
    </xf>
    <xf numFmtId="0" fontId="0" fillId="0" borderId="0" xfId="0" applyBorder="1" applyProtection="1">
      <protection hidden="1"/>
    </xf>
    <xf numFmtId="0" fontId="6" fillId="0" borderId="0" xfId="0" applyFont="1" applyBorder="1" applyAlignment="1" applyProtection="1">
      <alignment horizontal="right"/>
      <protection hidden="1"/>
    </xf>
    <xf numFmtId="0" fontId="6" fillId="0" borderId="0" xfId="0" applyFont="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2" fillId="0" borderId="0" xfId="0" applyFont="1" applyBorder="1" applyProtection="1">
      <protection hidden="1"/>
    </xf>
    <xf numFmtId="9" fontId="10" fillId="0" borderId="0" xfId="1" applyFont="1" applyFill="1" applyBorder="1" applyAlignment="1" applyProtection="1">
      <alignment horizontal="center"/>
      <protection hidden="1"/>
    </xf>
    <xf numFmtId="0" fontId="5" fillId="0" borderId="0" xfId="0" applyFont="1" applyFill="1" applyBorder="1" applyAlignment="1" applyProtection="1">
      <alignment horizontal="center"/>
      <protection locked="0"/>
    </xf>
    <xf numFmtId="0" fontId="21" fillId="0" borderId="0" xfId="0" applyFont="1" applyAlignment="1">
      <alignment horizontal="center"/>
    </xf>
    <xf numFmtId="0" fontId="0" fillId="0" borderId="0" xfId="0" applyFill="1" applyBorder="1" applyAlignment="1">
      <alignment horizontal="left"/>
    </xf>
    <xf numFmtId="0" fontId="3" fillId="0" borderId="0" xfId="0" applyFont="1" applyAlignment="1">
      <alignment horizontal="center" vertical="center" wrapText="1"/>
    </xf>
    <xf numFmtId="167" fontId="0" fillId="0" borderId="0" xfId="0" applyNumberFormat="1" applyFill="1" applyBorder="1"/>
    <xf numFmtId="2" fontId="0" fillId="0" borderId="0" xfId="0" applyNumberFormat="1" applyFill="1" applyBorder="1"/>
    <xf numFmtId="171" fontId="0" fillId="0" borderId="0" xfId="0" applyNumberFormat="1" applyFill="1" applyBorder="1"/>
    <xf numFmtId="172" fontId="0" fillId="0" borderId="0" xfId="0" applyNumberFormat="1" applyFill="1" applyBorder="1"/>
    <xf numFmtId="0" fontId="3" fillId="0" borderId="0" xfId="0" applyFont="1" applyFill="1" applyBorder="1"/>
    <xf numFmtId="0" fontId="2" fillId="0" borderId="0" xfId="0" applyFont="1" applyFill="1" applyBorder="1"/>
    <xf numFmtId="0" fontId="3" fillId="0" borderId="22" xfId="0" applyFont="1" applyBorder="1"/>
    <xf numFmtId="0" fontId="20" fillId="0" borderId="0" xfId="0" applyFont="1" applyProtection="1">
      <protection hidden="1"/>
    </xf>
    <xf numFmtId="0" fontId="2" fillId="0" borderId="18" xfId="0" applyFont="1" applyBorder="1" applyAlignment="1">
      <alignment horizontal="center"/>
    </xf>
    <xf numFmtId="0" fontId="2" fillId="0" borderId="20" xfId="0" applyFont="1" applyBorder="1" applyAlignment="1">
      <alignment horizontal="center"/>
    </xf>
    <xf numFmtId="0" fontId="2" fillId="0" borderId="19"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 fillId="0" borderId="18" xfId="0" applyFont="1" applyBorder="1" applyAlignment="1"/>
    <xf numFmtId="0" fontId="2" fillId="0" borderId="20" xfId="0" applyFont="1" applyBorder="1" applyAlignment="1"/>
    <xf numFmtId="0" fontId="3" fillId="0" borderId="0" xfId="0" applyFont="1" applyFill="1" applyBorder="1" applyAlignment="1"/>
    <xf numFmtId="0" fontId="0" fillId="0" borderId="27" xfId="0" quotePrefix="1" applyFill="1" applyBorder="1" applyAlignment="1">
      <alignment horizontal="center"/>
    </xf>
    <xf numFmtId="0" fontId="2" fillId="0" borderId="24" xfId="0" applyFont="1" applyBorder="1" applyAlignment="1">
      <alignment horizontal="center"/>
    </xf>
    <xf numFmtId="0" fontId="30" fillId="0" borderId="24" xfId="0" applyFont="1" applyBorder="1" applyAlignment="1">
      <alignment horizontal="center"/>
    </xf>
    <xf numFmtId="0" fontId="26" fillId="9" borderId="24" xfId="3" applyBorder="1" applyAlignment="1">
      <alignment horizontal="center"/>
    </xf>
    <xf numFmtId="0" fontId="26" fillId="9" borderId="0" xfId="3" applyBorder="1" applyAlignment="1">
      <alignment horizontal="center"/>
    </xf>
    <xf numFmtId="0" fontId="26" fillId="9" borderId="0" xfId="3" quotePrefix="1" applyBorder="1" applyAlignment="1">
      <alignment horizontal="center"/>
    </xf>
    <xf numFmtId="0" fontId="26" fillId="9" borderId="9" xfId="3" applyBorder="1" applyAlignment="1">
      <alignment horizontal="center"/>
    </xf>
    <xf numFmtId="0" fontId="27" fillId="10" borderId="24" xfId="4" applyBorder="1" applyAlignment="1">
      <alignment horizontal="center"/>
    </xf>
    <xf numFmtId="0" fontId="27" fillId="10" borderId="0" xfId="4" applyBorder="1" applyAlignment="1">
      <alignment horizontal="center"/>
    </xf>
    <xf numFmtId="0" fontId="27" fillId="10" borderId="0" xfId="4" applyBorder="1" applyAlignment="1">
      <alignment horizontal="left"/>
    </xf>
    <xf numFmtId="0" fontId="27" fillId="10" borderId="0" xfId="4" quotePrefix="1" applyBorder="1" applyAlignment="1">
      <alignment horizontal="center"/>
    </xf>
    <xf numFmtId="0" fontId="27" fillId="10" borderId="9" xfId="4" applyBorder="1" applyAlignment="1">
      <alignment horizontal="center"/>
    </xf>
    <xf numFmtId="0" fontId="29" fillId="12" borderId="24" xfId="5" applyBorder="1" applyAlignment="1">
      <alignment horizontal="center"/>
    </xf>
    <xf numFmtId="0" fontId="29" fillId="12" borderId="0" xfId="5" applyBorder="1" applyAlignment="1">
      <alignment horizontal="center"/>
    </xf>
    <xf numFmtId="0" fontId="29" fillId="12" borderId="0" xfId="5" quotePrefix="1" applyBorder="1" applyAlignment="1">
      <alignment horizontal="center"/>
    </xf>
    <xf numFmtId="0" fontId="29" fillId="12" borderId="0" xfId="5" applyBorder="1" applyAlignment="1">
      <alignment horizontal="left"/>
    </xf>
    <xf numFmtId="0" fontId="29" fillId="12" borderId="9" xfId="5" applyBorder="1" applyAlignment="1">
      <alignment horizontal="center"/>
    </xf>
    <xf numFmtId="0" fontId="29" fillId="12" borderId="0" xfId="5" applyBorder="1"/>
    <xf numFmtId="0" fontId="29" fillId="12" borderId="25" xfId="5" applyBorder="1" applyAlignment="1">
      <alignment horizontal="center"/>
    </xf>
    <xf numFmtId="0" fontId="29" fillId="12" borderId="28" xfId="5" applyBorder="1"/>
    <xf numFmtId="0" fontId="29" fillId="12" borderId="28" xfId="5" quotePrefix="1" applyBorder="1" applyAlignment="1">
      <alignment horizontal="center"/>
    </xf>
    <xf numFmtId="0" fontId="29" fillId="12" borderId="28" xfId="5" applyBorder="1" applyAlignment="1">
      <alignment horizontal="left"/>
    </xf>
    <xf numFmtId="0" fontId="29" fillId="12" borderId="28" xfId="5" applyBorder="1" applyAlignment="1">
      <alignment horizontal="center"/>
    </xf>
    <xf numFmtId="0" fontId="29" fillId="12" borderId="26" xfId="5" applyBorder="1" applyAlignment="1">
      <alignment horizontal="center"/>
    </xf>
    <xf numFmtId="0" fontId="3" fillId="0" borderId="0" xfId="0" applyFont="1" applyBorder="1" applyAlignment="1">
      <alignment horizontal="center"/>
    </xf>
    <xf numFmtId="0" fontId="0" fillId="0" borderId="21" xfId="0" applyFill="1" applyBorder="1" applyAlignment="1">
      <alignment horizontal="center"/>
    </xf>
    <xf numFmtId="0" fontId="0" fillId="0" borderId="29" xfId="0" applyBorder="1" applyAlignment="1">
      <alignment horizontal="center"/>
    </xf>
    <xf numFmtId="0" fontId="0" fillId="0" borderId="8" xfId="0" applyBorder="1" applyAlignment="1">
      <alignment horizontal="center"/>
    </xf>
    <xf numFmtId="0" fontId="26" fillId="9" borderId="8" xfId="3" applyBorder="1" applyAlignment="1">
      <alignment horizontal="center"/>
    </xf>
    <xf numFmtId="0" fontId="27" fillId="10" borderId="8" xfId="4" applyBorder="1" applyAlignment="1">
      <alignment horizontal="center"/>
    </xf>
    <xf numFmtId="0" fontId="29" fillId="12" borderId="8" xfId="5" applyBorder="1" applyAlignment="1">
      <alignment horizontal="center"/>
    </xf>
    <xf numFmtId="0" fontId="0" fillId="0" borderId="30" xfId="0" applyBorder="1" applyAlignment="1">
      <alignment horizontal="center"/>
    </xf>
    <xf numFmtId="0" fontId="0" fillId="0" borderId="0" xfId="0"/>
    <xf numFmtId="0" fontId="2" fillId="0" borderId="19" xfId="0" applyFont="1" applyBorder="1" applyAlignment="1">
      <alignment horizontal="center"/>
    </xf>
    <xf numFmtId="0" fontId="21" fillId="0" borderId="0" xfId="3" applyFont="1" applyFill="1" applyBorder="1" applyAlignment="1">
      <alignment horizontal="center"/>
    </xf>
    <xf numFmtId="0" fontId="21" fillId="0" borderId="0" xfId="0" quotePrefix="1" applyFont="1" applyBorder="1" applyAlignment="1">
      <alignment horizontal="center"/>
    </xf>
    <xf numFmtId="0" fontId="3" fillId="0" borderId="0" xfId="0" applyFont="1" applyAlignment="1">
      <alignment horizontal="center" vertical="center"/>
    </xf>
    <xf numFmtId="0" fontId="2" fillId="0" borderId="30" xfId="0" applyFont="1" applyBorder="1"/>
    <xf numFmtId="0" fontId="2" fillId="0" borderId="30" xfId="0" applyFont="1" applyBorder="1" applyAlignment="1"/>
    <xf numFmtId="0" fontId="0" fillId="0" borderId="19" xfId="0" quotePrefix="1" applyFont="1" applyFill="1" applyBorder="1" applyAlignment="1">
      <alignment horizontal="center"/>
    </xf>
    <xf numFmtId="0" fontId="0" fillId="0" borderId="20" xfId="0" quotePrefix="1" applyFont="1" applyFill="1" applyBorder="1" applyAlignment="1">
      <alignment horizontal="center"/>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18" xfId="0" applyBorder="1" applyAlignment="1"/>
    <xf numFmtId="0" fontId="0" fillId="0" borderId="20" xfId="0" applyBorder="1" applyAlignment="1"/>
    <xf numFmtId="0" fontId="0" fillId="0" borderId="0" xfId="0"/>
    <xf numFmtId="0" fontId="20"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19" xfId="0" quotePrefix="1" applyFont="1" applyFill="1" applyBorder="1" applyAlignment="1">
      <alignment horizontal="center"/>
    </xf>
    <xf numFmtId="2" fontId="0" fillId="0" borderId="9" xfId="0" applyNumberFormat="1" applyBorder="1"/>
    <xf numFmtId="0" fontId="3" fillId="0" borderId="29" xfId="0" applyFont="1" applyBorder="1"/>
    <xf numFmtId="0" fontId="0" fillId="0" borderId="23" xfId="0" applyFill="1" applyBorder="1"/>
    <xf numFmtId="0" fontId="0" fillId="0" borderId="0" xfId="0"/>
    <xf numFmtId="0" fontId="21" fillId="0" borderId="24" xfId="0" quotePrefix="1" applyFont="1" applyFill="1" applyBorder="1"/>
    <xf numFmtId="0" fontId="0" fillId="0" borderId="25" xfId="0" applyFill="1" applyBorder="1"/>
    <xf numFmtId="0" fontId="0" fillId="0" borderId="18" xfId="0" applyFill="1" applyBorder="1"/>
    <xf numFmtId="0" fontId="0" fillId="0" borderId="54" xfId="0" applyFill="1" applyBorder="1"/>
    <xf numFmtId="0" fontId="3" fillId="0" borderId="8" xfId="0" applyFont="1" applyBorder="1"/>
    <xf numFmtId="0" fontId="3" fillId="0" borderId="8" xfId="0" applyFont="1" applyFill="1" applyBorder="1"/>
    <xf numFmtId="0" fontId="0" fillId="0" borderId="30" xfId="0" applyFill="1" applyBorder="1"/>
    <xf numFmtId="0" fontId="5" fillId="0" borderId="0" xfId="0" applyFont="1" applyAlignment="1" applyProtection="1">
      <alignment vertical="center"/>
      <protection locked="0" hidden="1"/>
    </xf>
    <xf numFmtId="0" fontId="6" fillId="0" borderId="0" xfId="0" applyFont="1" applyBorder="1"/>
    <xf numFmtId="3" fontId="0" fillId="0" borderId="0" xfId="0" applyNumberFormat="1" applyProtection="1">
      <protection hidden="1"/>
    </xf>
    <xf numFmtId="0" fontId="0" fillId="0" borderId="54" xfId="0" applyBorder="1"/>
    <xf numFmtId="0" fontId="0" fillId="0" borderId="8" xfId="0" applyBorder="1" applyAlignment="1"/>
    <xf numFmtId="0" fontId="0" fillId="0" borderId="0" xfId="0" applyBorder="1" applyAlignment="1">
      <alignment horizontal="center"/>
    </xf>
    <xf numFmtId="0" fontId="0" fillId="0" borderId="0" xfId="0" quotePrefix="1" applyFont="1" applyFill="1" applyBorder="1" applyAlignment="1">
      <alignment horizontal="center"/>
    </xf>
    <xf numFmtId="0" fontId="0" fillId="0" borderId="19" xfId="0" applyBorder="1" applyAlignment="1"/>
    <xf numFmtId="0" fontId="21" fillId="0" borderId="0" xfId="0" applyFont="1" applyFill="1" applyBorder="1"/>
    <xf numFmtId="0" fontId="21" fillId="0" borderId="0" xfId="0" quotePrefix="1" applyFont="1" applyFill="1" applyBorder="1" applyAlignment="1">
      <alignment horizontal="center"/>
    </xf>
    <xf numFmtId="0" fontId="0" fillId="0" borderId="9" xfId="0" quotePrefix="1" applyBorder="1" applyAlignment="1">
      <alignment horizontal="center"/>
    </xf>
    <xf numFmtId="0" fontId="0" fillId="0" borderId="24" xfId="0" quotePrefix="1" applyFont="1" applyFill="1" applyBorder="1" applyAlignment="1">
      <alignment horizontal="center"/>
    </xf>
    <xf numFmtId="0" fontId="0" fillId="0" borderId="9" xfId="0" quotePrefix="1" applyFont="1" applyFill="1" applyBorder="1" applyAlignment="1">
      <alignment horizontal="center"/>
    </xf>
    <xf numFmtId="0" fontId="24" fillId="0" borderId="25" xfId="0" quotePrefix="1" applyFont="1" applyFill="1" applyBorder="1" applyAlignment="1">
      <alignment horizontal="center"/>
    </xf>
    <xf numFmtId="0" fontId="0" fillId="0" borderId="0" xfId="0"/>
    <xf numFmtId="0" fontId="3" fillId="0" borderId="54" xfId="0" applyFont="1" applyBorder="1"/>
    <xf numFmtId="0" fontId="21" fillId="0" borderId="0" xfId="0" applyFont="1" applyBorder="1"/>
    <xf numFmtId="0" fontId="21" fillId="0" borderId="27" xfId="0" applyFont="1" applyBorder="1" applyAlignment="1">
      <alignment horizontal="center"/>
    </xf>
    <xf numFmtId="0" fontId="21" fillId="0" borderId="27" xfId="0" applyFont="1" applyBorder="1" applyAlignment="1"/>
    <xf numFmtId="0" fontId="21" fillId="0" borderId="0" xfId="0" applyFont="1" applyBorder="1" applyAlignment="1">
      <alignment horizontal="center"/>
    </xf>
    <xf numFmtId="0" fontId="21" fillId="0" borderId="0" xfId="0" applyFont="1" applyBorder="1" applyAlignment="1"/>
    <xf numFmtId="0" fontId="21" fillId="0" borderId="28" xfId="0" applyFont="1" applyBorder="1" applyAlignment="1">
      <alignment horizontal="center"/>
    </xf>
    <xf numFmtId="0" fontId="21" fillId="0" borderId="28" xfId="0" applyFont="1" applyBorder="1" applyAlignment="1"/>
    <xf numFmtId="0" fontId="3" fillId="0" borderId="28" xfId="0" applyFont="1" applyBorder="1" applyAlignment="1">
      <alignment horizontal="center"/>
    </xf>
    <xf numFmtId="0" fontId="0" fillId="0" borderId="0" xfId="0" applyFont="1" applyFill="1" applyBorder="1" applyAlignment="1">
      <alignment horizontal="left"/>
    </xf>
    <xf numFmtId="0" fontId="0" fillId="0" borderId="0" xfId="0"/>
    <xf numFmtId="0" fontId="0" fillId="0" borderId="0" xfId="0"/>
    <xf numFmtId="0" fontId="15" fillId="0" borderId="0" xfId="0" applyNumberFormat="1" applyFont="1" applyFill="1" applyBorder="1" applyAlignment="1" applyProtection="1">
      <alignment horizontal="center"/>
      <protection locked="0"/>
    </xf>
    <xf numFmtId="0" fontId="21" fillId="0" borderId="9" xfId="0" applyFont="1" applyFill="1" applyBorder="1"/>
    <xf numFmtId="0" fontId="4" fillId="0" borderId="0" xfId="0" applyFont="1" applyBorder="1" applyAlignment="1">
      <alignment horizontal="center"/>
    </xf>
    <xf numFmtId="0" fontId="0" fillId="0" borderId="12" xfId="0" applyBorder="1" applyAlignment="1">
      <alignment horizontal="center"/>
    </xf>
    <xf numFmtId="0" fontId="0" fillId="0" borderId="61" xfId="0" applyBorder="1"/>
    <xf numFmtId="0" fontId="0" fillId="0" borderId="62" xfId="0" applyBorder="1"/>
    <xf numFmtId="0" fontId="0" fillId="0" borderId="62" xfId="0" applyBorder="1" applyAlignment="1">
      <alignment horizontal="center"/>
    </xf>
    <xf numFmtId="0" fontId="0" fillId="0" borderId="63" xfId="0" applyBorder="1" applyAlignment="1">
      <alignment horizontal="center"/>
    </xf>
    <xf numFmtId="0" fontId="0" fillId="0" borderId="64" xfId="0" applyBorder="1"/>
    <xf numFmtId="0" fontId="0" fillId="0" borderId="65" xfId="0" applyBorder="1"/>
    <xf numFmtId="0" fontId="0" fillId="0" borderId="65" xfId="0" applyBorder="1" applyAlignment="1">
      <alignment horizontal="center"/>
    </xf>
    <xf numFmtId="0" fontId="0" fillId="0" borderId="66" xfId="0" applyBorder="1"/>
    <xf numFmtId="0" fontId="0" fillId="0" borderId="67" xfId="0" applyBorder="1"/>
    <xf numFmtId="0" fontId="0" fillId="0" borderId="68" xfId="0" applyBorder="1"/>
    <xf numFmtId="0" fontId="0" fillId="0" borderId="61" xfId="0" applyBorder="1" applyAlignment="1">
      <alignment horizontal="center"/>
    </xf>
    <xf numFmtId="0" fontId="0" fillId="0" borderId="63" xfId="0" applyBorder="1"/>
    <xf numFmtId="0" fontId="0" fillId="0" borderId="64" xfId="0" applyBorder="1" applyAlignment="1">
      <alignment horizontal="center"/>
    </xf>
    <xf numFmtId="0" fontId="0" fillId="0" borderId="67" xfId="0" applyFill="1" applyBorder="1"/>
    <xf numFmtId="0" fontId="3" fillId="0" borderId="62" xfId="0" applyFont="1" applyFill="1" applyBorder="1"/>
    <xf numFmtId="0" fontId="0" fillId="0" borderId="62" xfId="0" applyFill="1" applyBorder="1"/>
    <xf numFmtId="0" fontId="3" fillId="0" borderId="54" xfId="0" applyFont="1" applyFill="1" applyBorder="1"/>
    <xf numFmtId="0" fontId="2" fillId="0" borderId="69" xfId="0" applyFont="1" applyBorder="1" applyAlignment="1"/>
    <xf numFmtId="0" fontId="2" fillId="0" borderId="70" xfId="0" applyFont="1" applyBorder="1" applyAlignment="1"/>
    <xf numFmtId="0" fontId="2" fillId="0" borderId="71" xfId="0" applyFont="1" applyBorder="1"/>
    <xf numFmtId="0" fontId="2" fillId="0" borderId="65" xfId="0" applyFont="1" applyBorder="1"/>
    <xf numFmtId="0" fontId="26" fillId="9" borderId="65" xfId="3" applyBorder="1"/>
    <xf numFmtId="0" fontId="26" fillId="9" borderId="72" xfId="3" applyBorder="1"/>
    <xf numFmtId="0" fontId="2" fillId="0" borderId="65" xfId="0" applyFont="1" applyBorder="1" applyAlignment="1">
      <alignment horizontal="center"/>
    </xf>
    <xf numFmtId="0" fontId="0" fillId="0" borderId="65" xfId="0" applyFill="1" applyBorder="1" applyAlignment="1">
      <alignment horizontal="center"/>
    </xf>
    <xf numFmtId="0" fontId="0" fillId="0" borderId="73" xfId="0" applyBorder="1"/>
    <xf numFmtId="0" fontId="5" fillId="3" borderId="65" xfId="0" applyFont="1" applyFill="1" applyBorder="1" applyAlignment="1" applyProtection="1">
      <alignment horizontal="center"/>
      <protection locked="0"/>
    </xf>
    <xf numFmtId="9" fontId="5" fillId="4" borderId="65" xfId="0" applyNumberFormat="1" applyFont="1" applyFill="1" applyBorder="1" applyAlignment="1">
      <alignment horizontal="center" vertical="center"/>
    </xf>
    <xf numFmtId="167" fontId="5" fillId="3" borderId="65" xfId="0" applyNumberFormat="1" applyFont="1" applyFill="1" applyBorder="1" applyAlignment="1" applyProtection="1">
      <alignment horizontal="center"/>
      <protection locked="0"/>
    </xf>
    <xf numFmtId="171" fontId="5" fillId="4" borderId="65" xfId="0" applyNumberFormat="1" applyFont="1" applyFill="1" applyBorder="1" applyAlignment="1">
      <alignment horizontal="center" vertical="center"/>
    </xf>
    <xf numFmtId="0" fontId="0" fillId="0" borderId="72" xfId="0" applyBorder="1"/>
    <xf numFmtId="0" fontId="0" fillId="0" borderId="74" xfId="0" applyBorder="1"/>
    <xf numFmtId="172" fontId="0" fillId="0" borderId="0" xfId="0" applyNumberFormat="1" applyBorder="1"/>
    <xf numFmtId="0" fontId="3" fillId="0" borderId="75" xfId="0" applyFont="1" applyBorder="1"/>
    <xf numFmtId="0" fontId="2" fillId="0" borderId="64" xfId="0" applyFont="1" applyBorder="1"/>
    <xf numFmtId="0" fontId="0" fillId="0" borderId="76" xfId="0" applyBorder="1"/>
    <xf numFmtId="0" fontId="21" fillId="0" borderId="65" xfId="0" quotePrefix="1" applyFont="1" applyBorder="1" applyAlignment="1">
      <alignment horizontal="center"/>
    </xf>
    <xf numFmtId="0" fontId="3" fillId="0" borderId="65" xfId="0" applyFont="1" applyBorder="1" applyAlignment="1">
      <alignment horizontal="center"/>
    </xf>
    <xf numFmtId="0" fontId="0" fillId="0" borderId="25" xfId="0" quotePrefix="1" applyFont="1" applyFill="1" applyBorder="1" applyAlignment="1">
      <alignment horizontal="center"/>
    </xf>
    <xf numFmtId="0" fontId="0" fillId="0" borderId="28" xfId="0" quotePrefix="1" applyFont="1" applyFill="1" applyBorder="1" applyAlignment="1">
      <alignment horizontal="center"/>
    </xf>
    <xf numFmtId="0" fontId="0" fillId="0" borderId="77" xfId="0" applyBorder="1"/>
    <xf numFmtId="0" fontId="0" fillId="0" borderId="67" xfId="0" quotePrefix="1" applyFill="1" applyBorder="1"/>
    <xf numFmtId="0" fontId="0" fillId="0" borderId="28" xfId="0" applyFill="1" applyBorder="1"/>
    <xf numFmtId="0" fontId="103" fillId="0" borderId="0" xfId="0" applyFont="1" applyBorder="1"/>
    <xf numFmtId="170" fontId="17" fillId="0" borderId="0" xfId="0" applyNumberFormat="1" applyFont="1" applyFill="1" applyBorder="1" applyAlignment="1"/>
    <xf numFmtId="0" fontId="103" fillId="0" borderId="0" xfId="0" applyFont="1" applyBorder="1" applyAlignment="1"/>
    <xf numFmtId="0" fontId="0" fillId="0" borderId="78" xfId="0" applyBorder="1" applyAlignment="1">
      <alignment horizontal="center"/>
    </xf>
    <xf numFmtId="0" fontId="0" fillId="0" borderId="79" xfId="0" applyBorder="1" applyAlignment="1">
      <alignment horizontal="center"/>
    </xf>
    <xf numFmtId="0" fontId="0" fillId="0" borderId="80" xfId="0" applyBorder="1"/>
    <xf numFmtId="0" fontId="0" fillId="0" borderId="81" xfId="0" applyBorder="1"/>
    <xf numFmtId="0" fontId="0" fillId="0" borderId="82" xfId="0" applyBorder="1"/>
    <xf numFmtId="0" fontId="0" fillId="0" borderId="83" xfId="0" applyBorder="1"/>
    <xf numFmtId="0" fontId="0" fillId="0" borderId="82" xfId="0" applyBorder="1" applyAlignment="1">
      <alignment vertical="center"/>
    </xf>
    <xf numFmtId="0" fontId="0" fillId="0" borderId="0" xfId="0" applyBorder="1" applyAlignment="1">
      <alignment horizontal="center" vertical="center" wrapText="1"/>
    </xf>
    <xf numFmtId="0" fontId="0" fillId="0" borderId="84" xfId="0" applyBorder="1"/>
    <xf numFmtId="0" fontId="0" fillId="0" borderId="85" xfId="0" applyBorder="1"/>
    <xf numFmtId="0" fontId="0" fillId="0" borderId="86" xfId="0" applyBorder="1"/>
    <xf numFmtId="171" fontId="21" fillId="0" borderId="0" xfId="0" applyNumberFormat="1" applyFont="1" applyBorder="1" applyAlignment="1">
      <alignment horizontal="center"/>
    </xf>
    <xf numFmtId="172" fontId="21" fillId="0" borderId="0" xfId="0" applyNumberFormat="1" applyFont="1" applyBorder="1" applyAlignment="1">
      <alignment horizont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0" xfId="0" applyFill="1" applyBorder="1" applyAlignment="1">
      <alignment horizontal="center" vertical="center"/>
    </xf>
    <xf numFmtId="0" fontId="0" fillId="0" borderId="0" xfId="0"/>
    <xf numFmtId="168" fontId="0" fillId="0" borderId="0" xfId="0" applyNumberFormat="1" applyBorder="1" applyAlignment="1">
      <alignment horizontal="center" vertical="center"/>
    </xf>
    <xf numFmtId="2" fontId="0" fillId="0" borderId="9" xfId="0" applyNumberFormat="1" applyBorder="1" applyAlignment="1">
      <alignment horizontal="center" vertical="center"/>
    </xf>
    <xf numFmtId="0" fontId="2" fillId="0" borderId="9" xfId="0" applyFont="1" applyBorder="1" applyAlignment="1">
      <alignment horizontal="center"/>
    </xf>
    <xf numFmtId="0" fontId="3" fillId="0" borderId="27" xfId="0" applyFont="1" applyBorder="1" applyAlignment="1">
      <alignment horizontal="center" vertical="center"/>
    </xf>
    <xf numFmtId="0" fontId="0" fillId="0" borderId="0" xfId="0"/>
    <xf numFmtId="0" fontId="19" fillId="0" borderId="0" xfId="7" applyProtection="1"/>
    <xf numFmtId="0" fontId="19" fillId="0" borderId="0" xfId="7"/>
    <xf numFmtId="0" fontId="19" fillId="0" borderId="87" xfId="7" applyBorder="1" applyProtection="1"/>
    <xf numFmtId="0" fontId="95" fillId="0" borderId="55" xfId="7" applyFont="1" applyBorder="1" applyAlignment="1" applyProtection="1">
      <alignment horizontal="center"/>
    </xf>
    <xf numFmtId="0" fontId="19" fillId="0" borderId="89" xfId="7" applyBorder="1" applyAlignment="1" applyProtection="1">
      <alignment horizontal="center"/>
    </xf>
    <xf numFmtId="0" fontId="19" fillId="0" borderId="91" xfId="7" applyBorder="1" applyAlignment="1" applyProtection="1">
      <alignment horizontal="center"/>
    </xf>
    <xf numFmtId="2" fontId="19" fillId="68" borderId="88" xfId="7" applyNumberFormat="1" applyFill="1" applyBorder="1" applyAlignment="1" applyProtection="1">
      <alignment horizontal="center"/>
    </xf>
    <xf numFmtId="1" fontId="19" fillId="68" borderId="89" xfId="7" applyNumberFormat="1" applyFill="1" applyBorder="1" applyAlignment="1" applyProtection="1">
      <alignment horizontal="center"/>
    </xf>
    <xf numFmtId="2" fontId="19" fillId="5" borderId="89" xfId="7" applyNumberFormat="1" applyFill="1" applyBorder="1" applyAlignment="1" applyProtection="1">
      <alignment horizontal="center"/>
    </xf>
    <xf numFmtId="1" fontId="19" fillId="5" borderId="89" xfId="7" applyNumberFormat="1" applyFill="1" applyBorder="1" applyAlignment="1" applyProtection="1">
      <alignment horizontal="center"/>
    </xf>
    <xf numFmtId="2" fontId="19" fillId="68" borderId="89" xfId="7" applyNumberFormat="1" applyFill="1" applyBorder="1" applyAlignment="1" applyProtection="1">
      <alignment horizontal="center"/>
    </xf>
    <xf numFmtId="1" fontId="19" fillId="68" borderId="91" xfId="7" applyNumberFormat="1" applyFill="1" applyBorder="1" applyAlignment="1" applyProtection="1">
      <alignment horizontal="center"/>
    </xf>
    <xf numFmtId="0" fontId="19" fillId="0" borderId="88" xfId="7" applyFill="1" applyBorder="1" applyAlignment="1" applyProtection="1">
      <alignment horizontal="center"/>
    </xf>
    <xf numFmtId="0" fontId="19" fillId="0" borderId="91" xfId="7" applyFill="1" applyBorder="1" applyAlignment="1" applyProtection="1">
      <alignment horizontal="center"/>
    </xf>
    <xf numFmtId="0" fontId="19" fillId="0" borderId="88" xfId="7" applyBorder="1" applyAlignment="1" applyProtection="1">
      <alignment horizontal="center" vertical="center"/>
    </xf>
    <xf numFmtId="0" fontId="19" fillId="0" borderId="89" xfId="7" applyBorder="1" applyAlignment="1" applyProtection="1">
      <alignment horizontal="center" vertical="center"/>
    </xf>
    <xf numFmtId="168" fontId="19" fillId="0" borderId="89" xfId="7" applyNumberFormat="1" applyBorder="1" applyAlignment="1" applyProtection="1">
      <alignment horizontal="center" vertical="center"/>
    </xf>
    <xf numFmtId="0" fontId="19" fillId="0" borderId="91" xfId="7" applyBorder="1" applyAlignment="1" applyProtection="1">
      <alignment horizontal="center" vertical="center"/>
    </xf>
    <xf numFmtId="0" fontId="19" fillId="0" borderId="54" xfId="7" applyBorder="1" applyAlignment="1" applyProtection="1">
      <alignment horizontal="center"/>
    </xf>
    <xf numFmtId="0" fontId="19" fillId="0" borderId="92" xfId="7" applyBorder="1" applyProtection="1"/>
    <xf numFmtId="0" fontId="95" fillId="0" borderId="56" xfId="7" applyFont="1" applyBorder="1" applyAlignment="1" applyProtection="1">
      <alignment horizontal="center"/>
    </xf>
    <xf numFmtId="0" fontId="19" fillId="0" borderId="93" xfId="7" applyBorder="1" applyAlignment="1" applyProtection="1">
      <alignment horizontal="center"/>
    </xf>
    <xf numFmtId="2" fontId="19" fillId="68" borderId="26" xfId="7" applyNumberFormat="1" applyFill="1" applyBorder="1" applyAlignment="1" applyProtection="1">
      <alignment horizontal="center"/>
    </xf>
    <xf numFmtId="1" fontId="19" fillId="68" borderId="30" xfId="7" applyNumberFormat="1" applyFill="1" applyBorder="1" applyAlignment="1" applyProtection="1">
      <alignment horizontal="center"/>
    </xf>
    <xf numFmtId="2" fontId="19" fillId="5" borderId="30" xfId="7" applyNumberFormat="1" applyFill="1" applyBorder="1" applyAlignment="1" applyProtection="1">
      <alignment horizontal="center"/>
    </xf>
    <xf numFmtId="1" fontId="19" fillId="5" borderId="30" xfId="7" applyNumberFormat="1" applyFill="1" applyBorder="1" applyAlignment="1" applyProtection="1">
      <alignment horizontal="center"/>
    </xf>
    <xf numFmtId="2" fontId="19" fillId="68" borderId="30" xfId="7" applyNumberFormat="1" applyFill="1" applyBorder="1" applyAlignment="1" applyProtection="1">
      <alignment horizontal="center"/>
    </xf>
    <xf numFmtId="1" fontId="19" fillId="68" borderId="100" xfId="7" applyNumberFormat="1" applyFill="1" applyBorder="1" applyAlignment="1" applyProtection="1">
      <alignment horizontal="center"/>
    </xf>
    <xf numFmtId="0" fontId="19" fillId="0" borderId="20" xfId="7" applyFill="1" applyBorder="1" applyAlignment="1" applyProtection="1">
      <alignment horizontal="center"/>
    </xf>
    <xf numFmtId="0" fontId="19" fillId="0" borderId="93" xfId="7" applyFill="1" applyBorder="1" applyAlignment="1" applyProtection="1">
      <alignment horizontal="center"/>
    </xf>
    <xf numFmtId="0" fontId="19" fillId="0" borderId="20" xfId="7" applyBorder="1" applyAlignment="1" applyProtection="1">
      <alignment horizontal="center" vertical="center"/>
    </xf>
    <xf numFmtId="0" fontId="19" fillId="0" borderId="54" xfId="7" applyBorder="1" applyAlignment="1" applyProtection="1">
      <alignment horizontal="center" vertical="center"/>
    </xf>
    <xf numFmtId="168" fontId="19" fillId="0" borderId="54" xfId="7" applyNumberFormat="1" applyBorder="1" applyAlignment="1" applyProtection="1">
      <alignment horizontal="center" vertical="center"/>
    </xf>
    <xf numFmtId="0" fontId="19" fillId="0" borderId="93" xfId="7" applyBorder="1" applyAlignment="1" applyProtection="1">
      <alignment horizontal="center" vertical="center"/>
    </xf>
    <xf numFmtId="0" fontId="95" fillId="0" borderId="0" xfId="7" applyFont="1"/>
    <xf numFmtId="0" fontId="19" fillId="0" borderId="94" xfId="7" applyBorder="1" applyProtection="1"/>
    <xf numFmtId="0" fontId="95" fillId="0" borderId="95" xfId="7" applyFont="1" applyBorder="1" applyAlignment="1" applyProtection="1">
      <alignment horizontal="center"/>
    </xf>
    <xf numFmtId="0" fontId="19" fillId="0" borderId="57" xfId="7" applyBorder="1" applyAlignment="1" applyProtection="1">
      <alignment horizontal="center"/>
    </xf>
    <xf numFmtId="0" fontId="19" fillId="0" borderId="99" xfId="7" applyBorder="1" applyAlignment="1" applyProtection="1">
      <alignment horizontal="center"/>
    </xf>
    <xf numFmtId="2" fontId="19" fillId="68" borderId="101" xfId="7" applyNumberFormat="1" applyFill="1" applyBorder="1" applyAlignment="1" applyProtection="1">
      <alignment horizontal="center"/>
    </xf>
    <xf numFmtId="1" fontId="19" fillId="68" borderId="59" xfId="7" applyNumberFormat="1" applyFill="1" applyBorder="1" applyAlignment="1" applyProtection="1">
      <alignment horizontal="center"/>
    </xf>
    <xf numFmtId="2" fontId="19" fillId="5" borderId="59" xfId="7" applyNumberFormat="1" applyFill="1" applyBorder="1" applyAlignment="1" applyProtection="1">
      <alignment horizontal="center"/>
    </xf>
    <xf numFmtId="1" fontId="19" fillId="5" borderId="59" xfId="7" applyNumberFormat="1" applyFill="1" applyBorder="1" applyAlignment="1" applyProtection="1">
      <alignment horizontal="center"/>
    </xf>
    <xf numFmtId="2" fontId="19" fillId="68" borderId="59" xfId="7" applyNumberFormat="1" applyFill="1" applyBorder="1" applyAlignment="1" applyProtection="1">
      <alignment horizontal="center"/>
    </xf>
    <xf numFmtId="1" fontId="19" fillId="68" borderId="60" xfId="7" applyNumberFormat="1" applyFill="1" applyBorder="1" applyAlignment="1" applyProtection="1">
      <alignment horizontal="center"/>
    </xf>
    <xf numFmtId="0" fontId="19" fillId="0" borderId="98" xfId="7" applyFill="1" applyBorder="1" applyAlignment="1" applyProtection="1">
      <alignment horizontal="center"/>
    </xf>
    <xf numFmtId="0" fontId="19" fillId="0" borderId="99" xfId="7" applyFill="1" applyBorder="1" applyAlignment="1" applyProtection="1">
      <alignment horizontal="center"/>
    </xf>
    <xf numFmtId="0" fontId="19" fillId="0" borderId="98" xfId="7" applyBorder="1" applyAlignment="1" applyProtection="1">
      <alignment horizontal="center" vertical="center"/>
    </xf>
    <xf numFmtId="0" fontId="19" fillId="0" borderId="57" xfId="7" applyBorder="1" applyAlignment="1" applyProtection="1">
      <alignment horizontal="center" vertical="center"/>
    </xf>
    <xf numFmtId="168" fontId="19" fillId="0" borderId="57" xfId="7" applyNumberFormat="1" applyBorder="1" applyAlignment="1" applyProtection="1">
      <alignment horizontal="center" vertical="center"/>
    </xf>
    <xf numFmtId="0" fontId="19" fillId="0" borderId="99" xfId="7" applyBorder="1" applyAlignment="1" applyProtection="1">
      <alignment horizontal="center" vertical="center"/>
    </xf>
    <xf numFmtId="0" fontId="19" fillId="0" borderId="102" xfId="7" applyBorder="1" applyProtection="1"/>
    <xf numFmtId="0" fontId="19" fillId="0" borderId="54" xfId="7" applyFill="1" applyBorder="1" applyAlignment="1" applyProtection="1">
      <alignment horizontal="center"/>
    </xf>
    <xf numFmtId="0" fontId="19" fillId="0" borderId="30" xfId="7" applyBorder="1" applyAlignment="1" applyProtection="1">
      <alignment horizontal="center"/>
    </xf>
    <xf numFmtId="0" fontId="19" fillId="0" borderId="100" xfId="7" applyBorder="1" applyAlignment="1" applyProtection="1">
      <alignment horizontal="center"/>
    </xf>
    <xf numFmtId="0" fontId="19" fillId="0" borderId="26" xfId="7" applyFill="1" applyBorder="1" applyAlignment="1" applyProtection="1">
      <alignment horizontal="center"/>
    </xf>
    <xf numFmtId="0" fontId="19" fillId="0" borderId="100" xfId="7" applyFill="1" applyBorder="1" applyAlignment="1" applyProtection="1">
      <alignment horizontal="center"/>
    </xf>
    <xf numFmtId="0" fontId="19" fillId="0" borderId="26" xfId="7" applyBorder="1" applyAlignment="1" applyProtection="1">
      <alignment horizontal="center" vertical="center"/>
    </xf>
    <xf numFmtId="0" fontId="19" fillId="0" borderId="30" xfId="7" applyBorder="1" applyAlignment="1" applyProtection="1">
      <alignment horizontal="center" vertical="center"/>
    </xf>
    <xf numFmtId="168" fontId="19" fillId="0" borderId="30" xfId="7" applyNumberFormat="1" applyBorder="1" applyAlignment="1" applyProtection="1">
      <alignment horizontal="center" vertical="center"/>
    </xf>
    <xf numFmtId="0" fontId="19" fillId="0" borderId="100" xfId="7" applyBorder="1" applyAlignment="1" applyProtection="1">
      <alignment horizontal="center" vertical="center"/>
    </xf>
    <xf numFmtId="2" fontId="19" fillId="68" borderId="20" xfId="7" applyNumberFormat="1" applyFill="1" applyBorder="1" applyAlignment="1" applyProtection="1">
      <alignment horizontal="center"/>
    </xf>
    <xf numFmtId="1" fontId="19" fillId="68" borderId="54" xfId="7" applyNumberFormat="1" applyFill="1" applyBorder="1" applyAlignment="1" applyProtection="1">
      <alignment horizontal="center"/>
    </xf>
    <xf numFmtId="2" fontId="19" fillId="5" borderId="54" xfId="7" applyNumberFormat="1" applyFill="1" applyBorder="1" applyAlignment="1" applyProtection="1">
      <alignment horizontal="center"/>
    </xf>
    <xf numFmtId="1" fontId="19" fillId="5" borderId="54" xfId="7" applyNumberFormat="1" applyFill="1" applyBorder="1" applyAlignment="1" applyProtection="1">
      <alignment horizontal="center"/>
    </xf>
    <xf numFmtId="2" fontId="19" fillId="68" borderId="54" xfId="7" applyNumberFormat="1" applyFill="1" applyBorder="1" applyAlignment="1" applyProtection="1">
      <alignment horizontal="center"/>
    </xf>
    <xf numFmtId="1" fontId="19" fillId="68" borderId="93" xfId="7" applyNumberFormat="1" applyFill="1" applyBorder="1" applyAlignment="1" applyProtection="1">
      <alignment horizontal="center"/>
    </xf>
    <xf numFmtId="0" fontId="19" fillId="5" borderId="30" xfId="7" applyNumberFormat="1" applyFill="1" applyBorder="1" applyProtection="1"/>
    <xf numFmtId="0" fontId="19" fillId="0" borderId="30" xfId="7" applyNumberFormat="1" applyBorder="1" applyAlignment="1" applyProtection="1">
      <alignment horizontal="center"/>
    </xf>
    <xf numFmtId="0" fontId="19" fillId="69" borderId="30" xfId="7" applyNumberFormat="1" applyFill="1" applyBorder="1" applyAlignment="1" applyProtection="1">
      <alignment horizontal="center"/>
    </xf>
    <xf numFmtId="168" fontId="19" fillId="0" borderId="30" xfId="7" applyNumberFormat="1" applyBorder="1" applyAlignment="1" applyProtection="1">
      <alignment horizontal="center"/>
    </xf>
    <xf numFmtId="0" fontId="19" fillId="5" borderId="54" xfId="7" applyNumberFormat="1" applyFill="1" applyBorder="1" applyProtection="1"/>
    <xf numFmtId="0" fontId="19" fillId="0" borderId="54" xfId="7" applyNumberFormat="1" applyBorder="1" applyAlignment="1" applyProtection="1">
      <alignment horizontal="center"/>
    </xf>
    <xf numFmtId="0" fontId="19" fillId="69" borderId="54" xfId="7" applyNumberFormat="1" applyFill="1" applyBorder="1" applyAlignment="1" applyProtection="1">
      <alignment horizontal="center"/>
    </xf>
    <xf numFmtId="168" fontId="19" fillId="0" borderId="54" xfId="7" applyNumberFormat="1" applyBorder="1" applyAlignment="1" applyProtection="1">
      <alignment horizontal="center"/>
    </xf>
    <xf numFmtId="0" fontId="19" fillId="70" borderId="54" xfId="7" applyNumberFormat="1" applyFill="1" applyBorder="1" applyProtection="1"/>
    <xf numFmtId="0" fontId="19" fillId="67" borderId="54" xfId="7" applyNumberFormat="1" applyFill="1" applyBorder="1" applyAlignment="1" applyProtection="1">
      <alignment horizontal="center"/>
    </xf>
    <xf numFmtId="0" fontId="19" fillId="70" borderId="54" xfId="7" applyNumberFormat="1" applyFont="1" applyFill="1" applyBorder="1" applyProtection="1"/>
    <xf numFmtId="0" fontId="19" fillId="0" borderId="54" xfId="7" applyNumberFormat="1" applyFont="1" applyBorder="1" applyAlignment="1" applyProtection="1">
      <alignment horizontal="center"/>
    </xf>
    <xf numFmtId="0" fontId="19" fillId="67" borderId="54" xfId="7" applyNumberFormat="1" applyFont="1" applyFill="1" applyBorder="1" applyAlignment="1" applyProtection="1">
      <alignment horizontal="center"/>
    </xf>
    <xf numFmtId="2" fontId="19" fillId="68" borderId="54" xfId="7" applyNumberFormat="1" applyFont="1" applyFill="1" applyBorder="1" applyAlignment="1" applyProtection="1">
      <alignment horizontal="center"/>
    </xf>
    <xf numFmtId="1" fontId="19" fillId="5" borderId="54" xfId="7" applyNumberFormat="1" applyFont="1" applyFill="1" applyBorder="1" applyAlignment="1" applyProtection="1">
      <alignment horizontal="center"/>
    </xf>
    <xf numFmtId="1" fontId="19" fillId="68" borderId="54" xfId="7" applyNumberFormat="1" applyFont="1" applyFill="1" applyBorder="1" applyAlignment="1" applyProtection="1">
      <alignment horizontal="center"/>
    </xf>
    <xf numFmtId="2" fontId="19" fillId="5" borderId="54" xfId="7" applyNumberFormat="1" applyFont="1" applyFill="1" applyBorder="1" applyAlignment="1" applyProtection="1">
      <alignment horizontal="center"/>
    </xf>
    <xf numFmtId="0" fontId="19" fillId="0" borderId="54" xfId="7" applyFont="1" applyBorder="1" applyAlignment="1" applyProtection="1">
      <alignment horizontal="center"/>
    </xf>
    <xf numFmtId="168" fontId="19" fillId="0" borderId="54" xfId="7" applyNumberFormat="1" applyFont="1" applyBorder="1" applyAlignment="1" applyProtection="1">
      <alignment horizontal="center"/>
    </xf>
    <xf numFmtId="0" fontId="19" fillId="0" borderId="0" xfId="7" applyFont="1" applyProtection="1"/>
    <xf numFmtId="0" fontId="19" fillId="0" borderId="0" xfId="7" applyFont="1"/>
    <xf numFmtId="0" fontId="19" fillId="69" borderId="54" xfId="7" applyNumberFormat="1" applyFont="1" applyFill="1" applyBorder="1" applyAlignment="1" applyProtection="1">
      <alignment horizontal="center"/>
    </xf>
    <xf numFmtId="0" fontId="19" fillId="0" borderId="0" xfId="7" applyNumberFormat="1" applyFont="1" applyBorder="1" applyAlignment="1">
      <alignment horizontal="center"/>
    </xf>
    <xf numFmtId="0" fontId="19" fillId="68" borderId="0" xfId="7" applyNumberFormat="1" applyFont="1" applyFill="1" applyBorder="1" applyAlignment="1">
      <alignment horizontal="center"/>
    </xf>
    <xf numFmtId="0" fontId="19" fillId="68" borderId="0" xfId="7" applyNumberFormat="1" applyFill="1" applyBorder="1" applyAlignment="1">
      <alignment horizontal="center"/>
    </xf>
    <xf numFmtId="0" fontId="19" fillId="5" borderId="0" xfId="7" applyNumberFormat="1" applyFill="1" applyBorder="1" applyAlignment="1">
      <alignment horizontal="center"/>
    </xf>
    <xf numFmtId="0" fontId="19" fillId="5" borderId="0" xfId="7" applyNumberFormat="1" applyFont="1" applyFill="1" applyBorder="1" applyAlignment="1">
      <alignment horizontal="center"/>
    </xf>
    <xf numFmtId="0" fontId="19" fillId="0" borderId="0" xfId="7" applyNumberFormat="1" applyBorder="1" applyAlignment="1">
      <alignment horizontal="center"/>
    </xf>
    <xf numFmtId="0" fontId="19" fillId="0" borderId="0" xfId="7" applyFont="1" applyBorder="1" applyAlignment="1">
      <alignment horizontal="center"/>
    </xf>
    <xf numFmtId="0" fontId="19" fillId="0" borderId="0" xfId="7" applyFont="1" applyBorder="1"/>
    <xf numFmtId="0" fontId="19" fillId="5" borderId="54" xfId="7" applyNumberFormat="1" applyFont="1" applyFill="1" applyBorder="1" applyProtection="1"/>
    <xf numFmtId="0" fontId="19" fillId="70" borderId="92" xfId="7" applyNumberFormat="1" applyFill="1" applyBorder="1" applyProtection="1"/>
    <xf numFmtId="0" fontId="19" fillId="0" borderId="93" xfId="7" applyNumberFormat="1" applyBorder="1" applyAlignment="1" applyProtection="1">
      <alignment horizontal="center"/>
    </xf>
    <xf numFmtId="0" fontId="19" fillId="0" borderId="20" xfId="7" applyNumberFormat="1" applyBorder="1" applyAlignment="1" applyProtection="1">
      <alignment horizontal="center"/>
    </xf>
    <xf numFmtId="0" fontId="19" fillId="0" borderId="20" xfId="7" applyBorder="1" applyAlignment="1" applyProtection="1">
      <alignment horizontal="center"/>
    </xf>
    <xf numFmtId="0" fontId="19" fillId="0" borderId="54" xfId="7" applyBorder="1" applyProtection="1"/>
    <xf numFmtId="0" fontId="19" fillId="0" borderId="103" xfId="7" applyBorder="1" applyProtection="1"/>
    <xf numFmtId="0" fontId="19" fillId="0" borderId="29" xfId="7" applyBorder="1" applyAlignment="1" applyProtection="1">
      <alignment horizontal="center"/>
    </xf>
    <xf numFmtId="0" fontId="19" fillId="0" borderId="97" xfId="7" applyBorder="1" applyAlignment="1" applyProtection="1">
      <alignment horizontal="center"/>
    </xf>
    <xf numFmtId="2" fontId="19" fillId="68" borderId="23" xfId="7" applyNumberFormat="1" applyFill="1" applyBorder="1" applyAlignment="1" applyProtection="1">
      <alignment horizontal="center"/>
    </xf>
    <xf numFmtId="1" fontId="19" fillId="68" borderId="29" xfId="7" applyNumberFormat="1" applyFill="1" applyBorder="1" applyAlignment="1" applyProtection="1">
      <alignment horizontal="center"/>
    </xf>
    <xf numFmtId="2" fontId="19" fillId="5" borderId="29" xfId="7" applyNumberFormat="1" applyFill="1" applyBorder="1" applyAlignment="1" applyProtection="1">
      <alignment horizontal="center"/>
    </xf>
    <xf numFmtId="1" fontId="19" fillId="5" borderId="29" xfId="7" applyNumberFormat="1" applyFill="1" applyBorder="1" applyAlignment="1" applyProtection="1">
      <alignment horizontal="center"/>
    </xf>
    <xf numFmtId="2" fontId="19" fillId="68" borderId="29" xfId="7" applyNumberFormat="1" applyFill="1" applyBorder="1" applyAlignment="1" applyProtection="1">
      <alignment horizontal="center"/>
    </xf>
    <xf numFmtId="1" fontId="19" fillId="68" borderId="97" xfId="7" applyNumberFormat="1" applyFill="1" applyBorder="1" applyAlignment="1" applyProtection="1">
      <alignment horizontal="center"/>
    </xf>
    <xf numFmtId="0" fontId="19" fillId="0" borderId="23" xfId="7" applyFill="1" applyBorder="1" applyAlignment="1" applyProtection="1">
      <alignment horizontal="center"/>
    </xf>
    <xf numFmtId="0" fontId="19" fillId="0" borderId="97" xfId="7" applyFill="1" applyBorder="1" applyAlignment="1" applyProtection="1">
      <alignment horizontal="center"/>
    </xf>
    <xf numFmtId="0" fontId="19" fillId="0" borderId="23" xfId="7" applyBorder="1" applyAlignment="1" applyProtection="1">
      <alignment horizontal="center" vertical="center"/>
    </xf>
    <xf numFmtId="0" fontId="19" fillId="0" borderId="29" xfId="7" applyBorder="1" applyAlignment="1" applyProtection="1">
      <alignment horizontal="center" vertical="center"/>
    </xf>
    <xf numFmtId="168" fontId="19" fillId="0" borderId="29" xfId="7" applyNumberFormat="1" applyBorder="1" applyAlignment="1" applyProtection="1">
      <alignment horizontal="center" vertical="center"/>
    </xf>
    <xf numFmtId="0" fontId="19" fillId="0" borderId="97" xfId="7" applyBorder="1" applyAlignment="1" applyProtection="1">
      <alignment horizontal="center" vertical="center"/>
    </xf>
    <xf numFmtId="0" fontId="19" fillId="0" borderId="0" xfId="7" applyAlignment="1" applyProtection="1">
      <alignment horizontal="center"/>
    </xf>
    <xf numFmtId="0" fontId="19" fillId="0" borderId="28" xfId="7" applyNumberFormat="1" applyFill="1" applyBorder="1" applyProtection="1"/>
    <xf numFmtId="0" fontId="19" fillId="0" borderId="26" xfId="7" applyNumberFormat="1" applyBorder="1" applyAlignment="1" applyProtection="1">
      <alignment horizontal="center"/>
    </xf>
    <xf numFmtId="0" fontId="19" fillId="0" borderId="25" xfId="7" applyNumberFormat="1" applyBorder="1" applyAlignment="1" applyProtection="1">
      <alignment horizontal="center"/>
    </xf>
    <xf numFmtId="1" fontId="19" fillId="68" borderId="25" xfId="7" applyNumberFormat="1" applyFill="1" applyBorder="1" applyAlignment="1" applyProtection="1">
      <alignment horizontal="center"/>
    </xf>
    <xf numFmtId="167" fontId="19" fillId="0" borderId="26" xfId="7" applyNumberFormat="1" applyBorder="1" applyAlignment="1" applyProtection="1">
      <alignment horizontal="center"/>
    </xf>
    <xf numFmtId="0" fontId="19" fillId="0" borderId="25" xfId="7" applyBorder="1" applyAlignment="1" applyProtection="1">
      <alignment horizontal="center"/>
    </xf>
    <xf numFmtId="0" fontId="19" fillId="0" borderId="89" xfId="7" applyFont="1" applyBorder="1" applyAlignment="1" applyProtection="1">
      <alignment horizontal="center"/>
    </xf>
    <xf numFmtId="0" fontId="19" fillId="0" borderId="90" xfId="7" applyFont="1" applyBorder="1" applyAlignment="1" applyProtection="1">
      <alignment horizontal="center"/>
    </xf>
    <xf numFmtId="2" fontId="19" fillId="68" borderId="55" xfId="7" applyNumberFormat="1" applyFill="1" applyBorder="1" applyAlignment="1" applyProtection="1">
      <alignment horizontal="center"/>
    </xf>
    <xf numFmtId="1" fontId="19" fillId="68" borderId="90" xfId="7" applyNumberFormat="1" applyFill="1" applyBorder="1" applyAlignment="1" applyProtection="1">
      <alignment horizontal="center"/>
    </xf>
    <xf numFmtId="0" fontId="19" fillId="0" borderId="55" xfId="7" applyFill="1" applyBorder="1" applyAlignment="1" applyProtection="1">
      <alignment horizontal="center"/>
    </xf>
    <xf numFmtId="0" fontId="19" fillId="0" borderId="89" xfId="7" applyFill="1" applyBorder="1" applyAlignment="1" applyProtection="1">
      <alignment horizontal="center"/>
    </xf>
    <xf numFmtId="168" fontId="19" fillId="0" borderId="89" xfId="7" applyNumberFormat="1" applyFill="1" applyBorder="1" applyAlignment="1" applyProtection="1">
      <alignment horizontal="center"/>
    </xf>
    <xf numFmtId="0" fontId="19" fillId="0" borderId="18" xfId="7" applyFont="1" applyBorder="1" applyAlignment="1" applyProtection="1">
      <alignment horizontal="center"/>
    </xf>
    <xf numFmtId="2" fontId="19" fillId="68" borderId="56" xfId="7" applyNumberFormat="1" applyFill="1" applyBorder="1" applyAlignment="1" applyProtection="1">
      <alignment horizontal="center"/>
    </xf>
    <xf numFmtId="1" fontId="19" fillId="68" borderId="18" xfId="7" applyNumberFormat="1" applyFill="1" applyBorder="1" applyAlignment="1" applyProtection="1">
      <alignment horizontal="center"/>
    </xf>
    <xf numFmtId="0" fontId="19" fillId="0" borderId="56" xfId="7" applyFill="1" applyBorder="1" applyAlignment="1" applyProtection="1">
      <alignment horizontal="center"/>
    </xf>
    <xf numFmtId="168" fontId="19" fillId="0" borderId="54" xfId="7" applyNumberFormat="1" applyFill="1" applyBorder="1" applyAlignment="1" applyProtection="1">
      <alignment horizontal="center"/>
    </xf>
    <xf numFmtId="0" fontId="19" fillId="0" borderId="57" xfId="7" applyFont="1" applyBorder="1" applyAlignment="1" applyProtection="1">
      <alignment horizontal="center"/>
    </xf>
    <xf numFmtId="0" fontId="19" fillId="0" borderId="96" xfId="7" applyFont="1" applyBorder="1" applyAlignment="1" applyProtection="1">
      <alignment horizontal="center"/>
    </xf>
    <xf numFmtId="2" fontId="19" fillId="68" borderId="104" xfId="7" applyNumberFormat="1" applyFill="1" applyBorder="1" applyAlignment="1" applyProtection="1">
      <alignment horizontal="center"/>
    </xf>
    <xf numFmtId="1" fontId="19" fillId="68" borderId="22" xfId="7" applyNumberFormat="1" applyFill="1" applyBorder="1" applyAlignment="1" applyProtection="1">
      <alignment horizontal="center"/>
    </xf>
    <xf numFmtId="0" fontId="19" fillId="0" borderId="104" xfId="7" applyFill="1" applyBorder="1" applyAlignment="1" applyProtection="1">
      <alignment horizontal="center"/>
    </xf>
    <xf numFmtId="0" fontId="19" fillId="0" borderId="29" xfId="7" applyFill="1" applyBorder="1" applyAlignment="1" applyProtection="1">
      <alignment horizontal="center"/>
    </xf>
    <xf numFmtId="168" fontId="19" fillId="0" borderId="29" xfId="7" applyNumberFormat="1" applyFill="1" applyBorder="1" applyAlignment="1" applyProtection="1">
      <alignment horizontal="center"/>
    </xf>
    <xf numFmtId="2" fontId="19" fillId="68" borderId="95" xfId="7" applyNumberFormat="1" applyFill="1" applyBorder="1" applyAlignment="1" applyProtection="1">
      <alignment horizontal="center"/>
    </xf>
    <xf numFmtId="1" fontId="19" fillId="68" borderId="57" xfId="7" applyNumberFormat="1" applyFill="1" applyBorder="1" applyAlignment="1" applyProtection="1">
      <alignment horizontal="center"/>
    </xf>
    <xf numFmtId="2" fontId="19" fillId="5" borderId="57" xfId="7" applyNumberFormat="1" applyFill="1" applyBorder="1" applyAlignment="1" applyProtection="1">
      <alignment horizontal="center"/>
    </xf>
    <xf numFmtId="1" fontId="19" fillId="5" borderId="57" xfId="7" applyNumberFormat="1" applyFill="1" applyBorder="1" applyAlignment="1" applyProtection="1">
      <alignment horizontal="center"/>
    </xf>
    <xf numFmtId="2" fontId="19" fillId="68" borderId="57" xfId="7" applyNumberFormat="1" applyFill="1" applyBorder="1" applyAlignment="1" applyProtection="1">
      <alignment horizontal="center"/>
    </xf>
    <xf numFmtId="1" fontId="19" fillId="68" borderId="96" xfId="7" applyNumberFormat="1" applyFill="1" applyBorder="1" applyAlignment="1" applyProtection="1">
      <alignment horizontal="center"/>
    </xf>
    <xf numFmtId="0" fontId="19" fillId="0" borderId="95" xfId="7" applyFill="1" applyBorder="1" applyAlignment="1" applyProtection="1">
      <alignment horizontal="center"/>
    </xf>
    <xf numFmtId="0" fontId="19" fillId="0" borderId="57" xfId="7" applyFill="1" applyBorder="1" applyAlignment="1" applyProtection="1">
      <alignment horizontal="center"/>
    </xf>
    <xf numFmtId="168" fontId="19" fillId="0" borderId="57" xfId="7" applyNumberFormat="1" applyFill="1" applyBorder="1" applyAlignment="1" applyProtection="1">
      <alignment horizontal="center"/>
    </xf>
    <xf numFmtId="0" fontId="19" fillId="0" borderId="14" xfId="7" applyBorder="1" applyProtection="1"/>
    <xf numFmtId="0" fontId="19" fillId="0" borderId="5" xfId="7" applyFont="1" applyBorder="1" applyAlignment="1" applyProtection="1">
      <alignment horizontal="center"/>
    </xf>
    <xf numFmtId="0" fontId="19" fillId="0" borderId="7" xfId="7" applyFont="1" applyBorder="1" applyAlignment="1" applyProtection="1">
      <alignment horizontal="center"/>
    </xf>
    <xf numFmtId="0" fontId="19" fillId="0" borderId="105" xfId="7" applyFont="1" applyBorder="1" applyAlignment="1" applyProtection="1">
      <alignment horizontal="center"/>
    </xf>
    <xf numFmtId="2" fontId="19" fillId="68" borderId="5" xfId="7" applyNumberFormat="1" applyFill="1" applyBorder="1" applyAlignment="1" applyProtection="1">
      <alignment horizontal="center"/>
    </xf>
    <xf numFmtId="1" fontId="19" fillId="68" borderId="7" xfId="7" applyNumberFormat="1" applyFill="1" applyBorder="1" applyAlignment="1" applyProtection="1">
      <alignment horizontal="center"/>
    </xf>
    <xf numFmtId="2" fontId="19" fillId="5" borderId="7" xfId="7" applyNumberFormat="1" applyFill="1" applyBorder="1" applyAlignment="1" applyProtection="1">
      <alignment horizontal="center"/>
    </xf>
    <xf numFmtId="1" fontId="19" fillId="5" borderId="7" xfId="7" applyNumberFormat="1" applyFill="1" applyBorder="1" applyAlignment="1" applyProtection="1">
      <alignment horizontal="center"/>
    </xf>
    <xf numFmtId="2" fontId="19" fillId="68" borderId="7" xfId="7" applyNumberFormat="1" applyFill="1" applyBorder="1" applyAlignment="1" applyProtection="1">
      <alignment horizontal="center"/>
    </xf>
    <xf numFmtId="1" fontId="19" fillId="68" borderId="105" xfId="7" applyNumberFormat="1" applyFill="1" applyBorder="1" applyAlignment="1" applyProtection="1">
      <alignment horizontal="center"/>
    </xf>
    <xf numFmtId="0" fontId="19" fillId="0" borderId="5" xfId="7" applyFill="1" applyBorder="1" applyAlignment="1" applyProtection="1">
      <alignment horizontal="center"/>
    </xf>
    <xf numFmtId="0" fontId="19" fillId="0" borderId="106" xfId="7" applyFill="1" applyBorder="1" applyAlignment="1" applyProtection="1">
      <alignment horizontal="center"/>
    </xf>
    <xf numFmtId="0" fontId="19" fillId="0" borderId="107" xfId="7" applyFill="1" applyBorder="1" applyAlignment="1" applyProtection="1">
      <alignment horizontal="center"/>
    </xf>
    <xf numFmtId="0" fontId="19" fillId="0" borderId="7" xfId="7" applyFill="1" applyBorder="1" applyAlignment="1" applyProtection="1">
      <alignment horizontal="center"/>
    </xf>
    <xf numFmtId="168" fontId="19" fillId="0" borderId="7" xfId="7" applyNumberFormat="1" applyFill="1" applyBorder="1" applyAlignment="1" applyProtection="1">
      <alignment horizontal="center"/>
    </xf>
    <xf numFmtId="0" fontId="19" fillId="0" borderId="106" xfId="7" applyBorder="1" applyAlignment="1" applyProtection="1">
      <alignment horizontal="center" vertical="center"/>
    </xf>
    <xf numFmtId="0" fontId="19" fillId="0" borderId="104" xfId="7" applyFont="1" applyBorder="1" applyAlignment="1" applyProtection="1">
      <alignment horizontal="center"/>
    </xf>
    <xf numFmtId="0" fontId="19" fillId="0" borderId="29" xfId="7" applyFont="1" applyBorder="1" applyAlignment="1" applyProtection="1">
      <alignment horizontal="center"/>
    </xf>
    <xf numFmtId="0" fontId="19" fillId="0" borderId="22" xfId="7" applyFont="1" applyBorder="1" applyAlignment="1" applyProtection="1">
      <alignment horizontal="center"/>
    </xf>
    <xf numFmtId="0" fontId="19" fillId="0" borderId="95" xfId="7" applyFont="1" applyBorder="1" applyAlignment="1" applyProtection="1">
      <alignment horizontal="center"/>
    </xf>
    <xf numFmtId="0" fontId="95" fillId="0" borderId="23" xfId="7" applyFont="1" applyFill="1" applyBorder="1" applyAlignment="1" applyProtection="1">
      <alignment horizontal="center"/>
    </xf>
    <xf numFmtId="0" fontId="95" fillId="0" borderId="29" xfId="7" applyFont="1" applyFill="1" applyBorder="1" applyAlignment="1" applyProtection="1">
      <alignment horizontal="center"/>
    </xf>
    <xf numFmtId="168" fontId="95" fillId="0" borderId="29" xfId="7" applyNumberFormat="1" applyFont="1" applyFill="1" applyBorder="1" applyAlignment="1" applyProtection="1">
      <alignment horizontal="center"/>
    </xf>
    <xf numFmtId="0" fontId="19" fillId="0" borderId="23" xfId="7" applyFont="1" applyFill="1" applyBorder="1" applyAlignment="1" applyProtection="1">
      <alignment horizontal="center"/>
    </xf>
    <xf numFmtId="0" fontId="19" fillId="0" borderId="29" xfId="7" applyFont="1" applyFill="1" applyBorder="1" applyAlignment="1" applyProtection="1">
      <alignment horizontal="center"/>
    </xf>
    <xf numFmtId="168" fontId="19" fillId="0" borderId="29" xfId="7" applyNumberFormat="1" applyFont="1" applyFill="1" applyBorder="1" applyAlignment="1" applyProtection="1">
      <alignment horizontal="center"/>
    </xf>
    <xf numFmtId="0" fontId="19" fillId="0" borderId="15" xfId="7" applyBorder="1" applyProtection="1"/>
    <xf numFmtId="0" fontId="19" fillId="0" borderId="6" xfId="7" applyFont="1" applyBorder="1" applyAlignment="1" applyProtection="1">
      <alignment horizontal="center"/>
    </xf>
    <xf numFmtId="0" fontId="19" fillId="0" borderId="8" xfId="7" applyFont="1" applyBorder="1" applyAlignment="1" applyProtection="1">
      <alignment horizontal="center"/>
    </xf>
    <xf numFmtId="0" fontId="19" fillId="0" borderId="24" xfId="7" applyFont="1" applyBorder="1" applyAlignment="1" applyProtection="1">
      <alignment horizontal="center"/>
    </xf>
    <xf numFmtId="2" fontId="19" fillId="68" borderId="6" xfId="7" applyNumberFormat="1" applyFill="1" applyBorder="1" applyAlignment="1" applyProtection="1">
      <alignment horizontal="center"/>
    </xf>
    <xf numFmtId="1" fontId="19" fillId="68" borderId="8" xfId="7" applyNumberFormat="1" applyFill="1" applyBorder="1" applyAlignment="1" applyProtection="1">
      <alignment horizontal="center"/>
    </xf>
    <xf numFmtId="2" fontId="19" fillId="5" borderId="8" xfId="7" applyNumberFormat="1" applyFill="1" applyBorder="1" applyAlignment="1" applyProtection="1">
      <alignment horizontal="center"/>
    </xf>
    <xf numFmtId="1" fontId="19" fillId="5" borderId="8" xfId="7" applyNumberFormat="1" applyFill="1" applyBorder="1" applyAlignment="1" applyProtection="1">
      <alignment horizontal="center"/>
    </xf>
    <xf numFmtId="2" fontId="19" fillId="68" borderId="8" xfId="7" applyNumberFormat="1" applyFill="1" applyBorder="1" applyAlignment="1" applyProtection="1">
      <alignment horizontal="center"/>
    </xf>
    <xf numFmtId="1" fontId="19" fillId="68" borderId="24" xfId="7" applyNumberFormat="1" applyFill="1" applyBorder="1" applyAlignment="1" applyProtection="1">
      <alignment horizontal="center"/>
    </xf>
    <xf numFmtId="0" fontId="19" fillId="0" borderId="6" xfId="7" applyFill="1" applyBorder="1" applyAlignment="1" applyProtection="1">
      <alignment horizontal="center"/>
    </xf>
    <xf numFmtId="0" fontId="19" fillId="0" borderId="58" xfId="7" applyFill="1" applyBorder="1" applyAlignment="1" applyProtection="1">
      <alignment horizontal="center"/>
    </xf>
    <xf numFmtId="0" fontId="19" fillId="0" borderId="9" xfId="7" applyFill="1" applyBorder="1" applyAlignment="1" applyProtection="1">
      <alignment horizontal="center"/>
    </xf>
    <xf numFmtId="0" fontId="19" fillId="0" borderId="8" xfId="7" applyFill="1" applyBorder="1" applyAlignment="1" applyProtection="1">
      <alignment horizontal="center"/>
    </xf>
    <xf numFmtId="168" fontId="19" fillId="0" borderId="8" xfId="7" applyNumberFormat="1" applyFill="1" applyBorder="1" applyAlignment="1" applyProtection="1">
      <alignment horizontal="center"/>
    </xf>
    <xf numFmtId="0" fontId="19" fillId="0" borderId="58" xfId="7" applyBorder="1" applyAlignment="1" applyProtection="1">
      <alignment horizontal="center" vertical="center"/>
    </xf>
    <xf numFmtId="0" fontId="19" fillId="0" borderId="103" xfId="7" applyFont="1" applyBorder="1" applyProtection="1"/>
    <xf numFmtId="0" fontId="19" fillId="0" borderId="94" xfId="7" applyFont="1" applyBorder="1" applyProtection="1"/>
    <xf numFmtId="0" fontId="19" fillId="0" borderId="103" xfId="7" applyBorder="1" applyProtection="1">
      <protection locked="0"/>
    </xf>
    <xf numFmtId="0" fontId="19" fillId="0" borderId="6" xfId="7" applyFont="1" applyBorder="1" applyAlignment="1" applyProtection="1">
      <alignment horizontal="center"/>
      <protection locked="0"/>
    </xf>
    <xf numFmtId="0" fontId="19" fillId="0" borderId="8" xfId="7" applyFont="1" applyBorder="1" applyAlignment="1" applyProtection="1">
      <alignment horizontal="center"/>
      <protection locked="0"/>
    </xf>
    <xf numFmtId="0" fontId="19" fillId="0" borderId="24" xfId="7" applyFont="1" applyBorder="1" applyAlignment="1" applyProtection="1">
      <alignment horizontal="center"/>
      <protection locked="0"/>
    </xf>
    <xf numFmtId="2" fontId="19" fillId="68" borderId="6" xfId="7" applyNumberFormat="1" applyFill="1" applyBorder="1" applyAlignment="1" applyProtection="1">
      <alignment horizontal="center"/>
      <protection locked="0"/>
    </xf>
    <xf numFmtId="1" fontId="19" fillId="68" borderId="8" xfId="7" applyNumberFormat="1" applyFill="1" applyBorder="1" applyAlignment="1" applyProtection="1">
      <alignment horizontal="center"/>
      <protection locked="0"/>
    </xf>
    <xf numFmtId="2" fontId="19" fillId="5" borderId="8" xfId="7" applyNumberFormat="1" applyFill="1" applyBorder="1" applyAlignment="1" applyProtection="1">
      <alignment horizontal="center"/>
      <protection locked="0"/>
    </xf>
    <xf numFmtId="1" fontId="19" fillId="5" borderId="8" xfId="7" applyNumberFormat="1" applyFill="1" applyBorder="1" applyAlignment="1" applyProtection="1">
      <alignment horizontal="center"/>
      <protection locked="0"/>
    </xf>
    <xf numFmtId="2" fontId="19" fillId="68" borderId="8" xfId="7" applyNumberFormat="1" applyFill="1" applyBorder="1" applyAlignment="1" applyProtection="1">
      <alignment horizontal="center"/>
      <protection locked="0"/>
    </xf>
    <xf numFmtId="1" fontId="19" fillId="68" borderId="24" xfId="7" applyNumberFormat="1" applyFill="1" applyBorder="1" applyAlignment="1" applyProtection="1">
      <alignment horizontal="center"/>
      <protection locked="0"/>
    </xf>
    <xf numFmtId="0" fontId="19" fillId="0" borderId="6" xfId="7" applyFill="1" applyBorder="1" applyAlignment="1" applyProtection="1">
      <alignment horizontal="center"/>
      <protection locked="0"/>
    </xf>
    <xf numFmtId="0" fontId="19" fillId="0" borderId="58" xfId="7" applyFill="1" applyBorder="1" applyAlignment="1" applyProtection="1">
      <alignment horizontal="center"/>
      <protection locked="0"/>
    </xf>
    <xf numFmtId="0" fontId="19" fillId="0" borderId="9" xfId="7" applyFill="1" applyBorder="1" applyAlignment="1" applyProtection="1">
      <alignment horizontal="center"/>
      <protection locked="0"/>
    </xf>
    <xf numFmtId="0" fontId="19" fillId="0" borderId="8" xfId="7" applyFill="1" applyBorder="1" applyAlignment="1" applyProtection="1">
      <alignment horizontal="center"/>
      <protection locked="0"/>
    </xf>
    <xf numFmtId="168" fontId="19" fillId="0" borderId="8" xfId="7" applyNumberFormat="1" applyFill="1" applyBorder="1" applyAlignment="1" applyProtection="1">
      <alignment horizontal="center"/>
      <protection locked="0"/>
    </xf>
    <xf numFmtId="0" fontId="19" fillId="0" borderId="58" xfId="7" applyBorder="1" applyAlignment="1" applyProtection="1">
      <alignment horizontal="center" vertical="center"/>
      <protection locked="0"/>
    </xf>
    <xf numFmtId="0" fontId="19" fillId="0" borderId="0" xfId="7" applyProtection="1">
      <protection locked="0"/>
    </xf>
    <xf numFmtId="0" fontId="19" fillId="0" borderId="54" xfId="7" applyBorder="1" applyAlignment="1" applyProtection="1">
      <alignment horizontal="center"/>
      <protection locked="0"/>
    </xf>
    <xf numFmtId="0" fontId="19" fillId="0" borderId="104" xfId="7" applyFont="1" applyBorder="1" applyAlignment="1" applyProtection="1">
      <alignment horizontal="center"/>
      <protection locked="0"/>
    </xf>
    <xf numFmtId="0" fontId="19" fillId="0" borderId="29" xfId="7" applyFont="1" applyBorder="1" applyAlignment="1" applyProtection="1">
      <alignment horizontal="center"/>
      <protection locked="0"/>
    </xf>
    <xf numFmtId="0" fontId="19" fillId="0" borderId="22" xfId="7" applyFont="1" applyBorder="1" applyAlignment="1" applyProtection="1">
      <alignment horizontal="center"/>
      <protection locked="0"/>
    </xf>
    <xf numFmtId="2" fontId="19" fillId="68" borderId="104" xfId="7" applyNumberFormat="1" applyFill="1" applyBorder="1" applyAlignment="1" applyProtection="1">
      <alignment horizontal="center"/>
      <protection locked="0"/>
    </xf>
    <xf numFmtId="1" fontId="19" fillId="68" borderId="29" xfId="7" applyNumberFormat="1" applyFill="1" applyBorder="1" applyAlignment="1" applyProtection="1">
      <alignment horizontal="center"/>
      <protection locked="0"/>
    </xf>
    <xf numFmtId="2" fontId="19" fillId="5" borderId="29" xfId="7" applyNumberFormat="1" applyFill="1" applyBorder="1" applyAlignment="1" applyProtection="1">
      <alignment horizontal="center"/>
      <protection locked="0"/>
    </xf>
    <xf numFmtId="1" fontId="19" fillId="5" borderId="29" xfId="7" applyNumberFormat="1" applyFill="1" applyBorder="1" applyAlignment="1" applyProtection="1">
      <alignment horizontal="center"/>
      <protection locked="0"/>
    </xf>
    <xf numFmtId="2" fontId="19" fillId="68" borderId="29" xfId="7" applyNumberFormat="1" applyFill="1" applyBorder="1" applyAlignment="1" applyProtection="1">
      <alignment horizontal="center"/>
      <protection locked="0"/>
    </xf>
    <xf numFmtId="1" fontId="19" fillId="68" borderId="22" xfId="7" applyNumberFormat="1" applyFill="1" applyBorder="1" applyAlignment="1" applyProtection="1">
      <alignment horizontal="center"/>
      <protection locked="0"/>
    </xf>
    <xf numFmtId="0" fontId="19" fillId="0" borderId="104" xfId="7" applyFill="1" applyBorder="1" applyAlignment="1" applyProtection="1">
      <alignment horizontal="center"/>
      <protection locked="0"/>
    </xf>
    <xf numFmtId="0" fontId="19" fillId="0" borderId="97" xfId="7" applyFill="1" applyBorder="1" applyAlignment="1" applyProtection="1">
      <alignment horizontal="center"/>
      <protection locked="0"/>
    </xf>
    <xf numFmtId="0" fontId="19" fillId="0" borderId="23" xfId="7" applyFill="1" applyBorder="1" applyAlignment="1" applyProtection="1">
      <alignment horizontal="center"/>
      <protection locked="0"/>
    </xf>
    <xf numFmtId="0" fontId="19" fillId="0" borderId="29" xfId="7" applyFill="1" applyBorder="1" applyAlignment="1" applyProtection="1">
      <alignment horizontal="center"/>
      <protection locked="0"/>
    </xf>
    <xf numFmtId="168" fontId="19" fillId="0" borderId="29" xfId="7" applyNumberFormat="1" applyFill="1" applyBorder="1" applyAlignment="1" applyProtection="1">
      <alignment horizontal="center"/>
      <protection locked="0"/>
    </xf>
    <xf numFmtId="0" fontId="19" fillId="0" borderId="97" xfId="7" applyBorder="1" applyAlignment="1" applyProtection="1">
      <alignment horizontal="center" vertical="center"/>
      <protection locked="0"/>
    </xf>
    <xf numFmtId="0" fontId="19" fillId="0" borderId="54" xfId="7" applyFont="1" applyBorder="1" applyAlignment="1" applyProtection="1">
      <alignment horizontal="center"/>
      <protection locked="0"/>
    </xf>
    <xf numFmtId="0" fontId="19" fillId="0" borderId="94" xfId="7" applyBorder="1" applyProtection="1">
      <protection locked="0"/>
    </xf>
    <xf numFmtId="0" fontId="19" fillId="0" borderId="95" xfId="7" applyFont="1" applyBorder="1" applyAlignment="1" applyProtection="1">
      <alignment horizontal="center"/>
      <protection locked="0"/>
    </xf>
    <xf numFmtId="0" fontId="19" fillId="0" borderId="57" xfId="7" applyFont="1" applyBorder="1" applyAlignment="1" applyProtection="1">
      <alignment horizontal="center"/>
      <protection locked="0"/>
    </xf>
    <xf numFmtId="0" fontId="19" fillId="0" borderId="96" xfId="7" applyFont="1" applyBorder="1" applyAlignment="1" applyProtection="1">
      <alignment horizontal="center"/>
      <protection locked="0"/>
    </xf>
    <xf numFmtId="2" fontId="19" fillId="68" borderId="95" xfId="7" applyNumberFormat="1" applyFill="1" applyBorder="1" applyAlignment="1" applyProtection="1">
      <alignment horizontal="center"/>
      <protection locked="0"/>
    </xf>
    <xf numFmtId="1" fontId="19" fillId="68" borderId="57" xfId="7" applyNumberFormat="1" applyFill="1" applyBorder="1" applyAlignment="1" applyProtection="1">
      <alignment horizontal="center"/>
      <protection locked="0"/>
    </xf>
    <xf numFmtId="2" fontId="19" fillId="5" borderId="57" xfId="7" applyNumberFormat="1" applyFill="1" applyBorder="1" applyAlignment="1" applyProtection="1">
      <alignment horizontal="center"/>
      <protection locked="0"/>
    </xf>
    <xf numFmtId="1" fontId="19" fillId="5" borderId="57" xfId="7" applyNumberFormat="1" applyFill="1" applyBorder="1" applyAlignment="1" applyProtection="1">
      <alignment horizontal="center"/>
      <protection locked="0"/>
    </xf>
    <xf numFmtId="2" fontId="19" fillId="68" borderId="57" xfId="7" applyNumberFormat="1" applyFill="1" applyBorder="1" applyAlignment="1" applyProtection="1">
      <alignment horizontal="center"/>
      <protection locked="0"/>
    </xf>
    <xf numFmtId="1" fontId="19" fillId="68" borderId="96" xfId="7" applyNumberFormat="1" applyFill="1" applyBorder="1" applyAlignment="1" applyProtection="1">
      <alignment horizontal="center"/>
      <protection locked="0"/>
    </xf>
    <xf numFmtId="0" fontId="19" fillId="0" borderId="95" xfId="7" applyFill="1" applyBorder="1" applyAlignment="1" applyProtection="1">
      <alignment horizontal="center"/>
      <protection locked="0"/>
    </xf>
    <xf numFmtId="0" fontId="19" fillId="0" borderId="99" xfId="7" applyFill="1" applyBorder="1" applyAlignment="1" applyProtection="1">
      <alignment horizontal="center"/>
      <protection locked="0"/>
    </xf>
    <xf numFmtId="0" fontId="19" fillId="0" borderId="98" xfId="7" applyFill="1" applyBorder="1" applyAlignment="1" applyProtection="1">
      <alignment horizontal="center"/>
      <protection locked="0"/>
    </xf>
    <xf numFmtId="0" fontId="19" fillId="0" borderId="57" xfId="7" applyFill="1" applyBorder="1" applyAlignment="1" applyProtection="1">
      <alignment horizontal="center"/>
      <protection locked="0"/>
    </xf>
    <xf numFmtId="168" fontId="19" fillId="0" borderId="57" xfId="7" applyNumberFormat="1" applyFill="1" applyBorder="1" applyAlignment="1" applyProtection="1">
      <alignment horizontal="center"/>
      <protection locked="0"/>
    </xf>
    <xf numFmtId="0" fontId="19" fillId="0" borderId="99" xfId="7" applyBorder="1" applyAlignment="1" applyProtection="1">
      <alignment horizontal="center" vertical="center"/>
      <protection locked="0"/>
    </xf>
    <xf numFmtId="0" fontId="19" fillId="0" borderId="0" xfId="7" applyAlignment="1">
      <alignment horizontal="center"/>
    </xf>
    <xf numFmtId="2" fontId="19" fillId="68" borderId="0" xfId="7" applyNumberFormat="1" applyFill="1" applyAlignment="1">
      <alignment horizontal="center"/>
    </xf>
    <xf numFmtId="1" fontId="19" fillId="68" borderId="0" xfId="7" applyNumberFormat="1" applyFill="1" applyAlignment="1">
      <alignment horizontal="center"/>
    </xf>
    <xf numFmtId="2" fontId="19" fillId="5" borderId="0" xfId="7" applyNumberFormat="1" applyFill="1" applyAlignment="1">
      <alignment horizontal="center"/>
    </xf>
    <xf numFmtId="1" fontId="19" fillId="5" borderId="0" xfId="7" applyNumberFormat="1" applyFill="1" applyAlignment="1">
      <alignment horizontal="center"/>
    </xf>
    <xf numFmtId="168" fontId="19" fillId="0" borderId="0" xfId="7" applyNumberFormat="1" applyAlignment="1">
      <alignment horizontal="center"/>
    </xf>
    <xf numFmtId="0" fontId="105" fillId="0" borderId="0" xfId="7" applyFont="1"/>
    <xf numFmtId="0" fontId="19" fillId="0" borderId="54" xfId="7" applyFont="1" applyFill="1" applyBorder="1" applyAlignment="1">
      <alignment horizontal="left"/>
    </xf>
    <xf numFmtId="0" fontId="19" fillId="0" borderId="54" xfId="7" applyFont="1" applyFill="1" applyBorder="1" applyAlignment="1">
      <alignment horizontal="center"/>
    </xf>
    <xf numFmtId="0" fontId="19" fillId="0" borderId="54" xfId="7" applyBorder="1" applyAlignment="1">
      <alignment horizontal="center" wrapText="1"/>
    </xf>
    <xf numFmtId="0" fontId="19" fillId="0" borderId="0" xfId="7" applyNumberFormat="1" applyAlignment="1" applyProtection="1">
      <protection locked="0"/>
    </xf>
    <xf numFmtId="0" fontId="19" fillId="0" borderId="54" xfId="7" applyBorder="1" applyProtection="1">
      <protection locked="0"/>
    </xf>
    <xf numFmtId="0" fontId="19" fillId="0" borderId="54" xfId="7" applyFill="1" applyBorder="1" applyProtection="1">
      <protection locked="0"/>
    </xf>
    <xf numFmtId="0" fontId="19" fillId="0" borderId="0" xfId="7" applyBorder="1" applyProtection="1">
      <protection locked="0"/>
    </xf>
    <xf numFmtId="0" fontId="105" fillId="0" borderId="0" xfId="7" applyFont="1" applyBorder="1"/>
    <xf numFmtId="0" fontId="19" fillId="0" borderId="30" xfId="7" applyFont="1" applyFill="1" applyBorder="1" applyAlignment="1">
      <alignment horizontal="left"/>
    </xf>
    <xf numFmtId="197" fontId="19" fillId="0" borderId="30" xfId="7" applyNumberFormat="1" applyFont="1" applyFill="1" applyBorder="1" applyAlignment="1">
      <alignment horizontal="center"/>
    </xf>
    <xf numFmtId="198" fontId="19" fillId="0" borderId="30" xfId="7" applyNumberFormat="1" applyFont="1" applyFill="1" applyBorder="1" applyAlignment="1">
      <alignment horizontal="center"/>
    </xf>
    <xf numFmtId="0" fontId="19" fillId="0" borderId="54" xfId="7" applyBorder="1" applyAlignment="1">
      <alignment horizontal="center"/>
    </xf>
    <xf numFmtId="197" fontId="19" fillId="0" borderId="54" xfId="7" applyNumberFormat="1" applyFont="1" applyFill="1" applyBorder="1" applyAlignment="1">
      <alignment horizontal="center"/>
    </xf>
    <xf numFmtId="198" fontId="19" fillId="0" borderId="54" xfId="7" applyNumberFormat="1" applyFont="1" applyFill="1" applyBorder="1" applyAlignment="1">
      <alignment horizontal="center"/>
    </xf>
    <xf numFmtId="0" fontId="19" fillId="0" borderId="0" xfId="7" applyAlignment="1" applyProtection="1">
      <alignment horizontal="center"/>
      <protection locked="0"/>
    </xf>
    <xf numFmtId="0" fontId="19" fillId="0" borderId="54" xfId="7" applyFill="1" applyBorder="1" applyAlignment="1" applyProtection="1">
      <alignment horizontal="center"/>
      <protection locked="0"/>
    </xf>
    <xf numFmtId="0" fontId="19" fillId="0" borderId="54" xfId="7" applyFont="1" applyFill="1" applyBorder="1" applyAlignment="1" applyProtection="1">
      <alignment horizontal="left"/>
    </xf>
    <xf numFmtId="198" fontId="19" fillId="0" borderId="54" xfId="7" applyNumberFormat="1" applyBorder="1" applyAlignment="1">
      <alignment horizontal="center"/>
    </xf>
    <xf numFmtId="0" fontId="19" fillId="0" borderId="0" xfId="7" applyBorder="1" applyAlignment="1" applyProtection="1">
      <alignment horizontal="center"/>
      <protection locked="0"/>
    </xf>
    <xf numFmtId="0" fontId="106" fillId="0" borderId="0" xfId="7" applyFont="1"/>
    <xf numFmtId="0" fontId="14" fillId="0" borderId="0" xfId="7" applyFont="1"/>
    <xf numFmtId="0" fontId="107" fillId="0" borderId="0" xfId="7" applyFont="1" applyAlignment="1">
      <alignment horizontal="center"/>
    </xf>
    <xf numFmtId="0" fontId="14" fillId="0" borderId="0" xfId="7" applyFont="1" applyAlignment="1">
      <alignment horizontal="center" vertical="center" wrapText="1"/>
    </xf>
    <xf numFmtId="0" fontId="14" fillId="0" borderId="0" xfId="7" applyFont="1" applyAlignment="1">
      <alignment horizontal="center" vertical="center"/>
    </xf>
    <xf numFmtId="0" fontId="14" fillId="0" borderId="0" xfId="7" applyFont="1" applyProtection="1">
      <protection locked="0"/>
    </xf>
    <xf numFmtId="0" fontId="14" fillId="0" borderId="0" xfId="7" applyFont="1" applyAlignment="1">
      <alignment horizontal="center"/>
    </xf>
    <xf numFmtId="167" fontId="19" fillId="0" borderId="0" xfId="7" applyNumberFormat="1"/>
    <xf numFmtId="2" fontId="19" fillId="0" borderId="0" xfId="7" applyNumberFormat="1"/>
    <xf numFmtId="2" fontId="19" fillId="0" borderId="0" xfId="7" applyNumberFormat="1" applyProtection="1">
      <protection locked="0"/>
    </xf>
    <xf numFmtId="2" fontId="19" fillId="0" borderId="0" xfId="7" applyNumberFormat="1" applyAlignment="1">
      <alignment horizontal="center"/>
    </xf>
    <xf numFmtId="167" fontId="19" fillId="0" borderId="0" xfId="7" applyNumberFormat="1" applyAlignment="1">
      <alignment horizontal="center"/>
    </xf>
    <xf numFmtId="0" fontId="14" fillId="0" borderId="22" xfId="7" applyFont="1" applyBorder="1"/>
    <xf numFmtId="0" fontId="19" fillId="0" borderId="23" xfId="7" applyBorder="1"/>
    <xf numFmtId="0" fontId="14" fillId="0" borderId="24" xfId="7" applyFont="1" applyBorder="1"/>
    <xf numFmtId="0" fontId="19" fillId="0" borderId="9" xfId="7" applyBorder="1"/>
    <xf numFmtId="0" fontId="14" fillId="0" borderId="25" xfId="7" applyFont="1" applyBorder="1"/>
    <xf numFmtId="1" fontId="19" fillId="0" borderId="26" xfId="7" applyNumberFormat="1" applyBorder="1"/>
    <xf numFmtId="1" fontId="19" fillId="0" borderId="0" xfId="7" applyNumberFormat="1" applyProtection="1">
      <protection locked="0"/>
    </xf>
    <xf numFmtId="0" fontId="19" fillId="0" borderId="0" xfId="7" applyNumberFormat="1" applyProtection="1">
      <protection locked="0"/>
    </xf>
    <xf numFmtId="0" fontId="19" fillId="40" borderId="0" xfId="7" applyFill="1" applyProtection="1">
      <protection locked="0"/>
    </xf>
    <xf numFmtId="0" fontId="19" fillId="0" borderId="10" xfId="7" applyBorder="1" applyProtection="1">
      <protection locked="0"/>
    </xf>
    <xf numFmtId="0" fontId="19" fillId="0" borderId="11" xfId="7" applyBorder="1" applyProtection="1">
      <protection locked="0"/>
    </xf>
    <xf numFmtId="0" fontId="19" fillId="0" borderId="11" xfId="7" applyBorder="1"/>
    <xf numFmtId="0" fontId="19" fillId="0" borderId="13" xfId="7" applyBorder="1"/>
    <xf numFmtId="0" fontId="19" fillId="0" borderId="1" xfId="7" applyBorder="1" applyProtection="1">
      <protection locked="0"/>
    </xf>
    <xf numFmtId="0" fontId="43" fillId="0" borderId="0" xfId="7" applyFont="1" applyBorder="1" applyProtection="1">
      <protection locked="0"/>
    </xf>
    <xf numFmtId="0" fontId="19" fillId="0" borderId="0" xfId="7" applyBorder="1"/>
    <xf numFmtId="0" fontId="19" fillId="0" borderId="12" xfId="7" applyBorder="1"/>
    <xf numFmtId="0" fontId="14" fillId="0" borderId="0" xfId="7" applyFont="1" applyBorder="1" applyProtection="1">
      <protection locked="0"/>
    </xf>
    <xf numFmtId="0" fontId="19" fillId="5" borderId="87" xfId="7" applyFill="1" applyBorder="1" applyAlignment="1">
      <alignment horizontal="center"/>
    </xf>
    <xf numFmtId="0" fontId="19" fillId="5" borderId="92" xfId="7" applyFill="1" applyBorder="1" applyAlignment="1">
      <alignment horizontal="center"/>
    </xf>
    <xf numFmtId="0" fontId="19" fillId="70" borderId="94" xfId="7" applyFill="1" applyBorder="1" applyAlignment="1">
      <alignment horizontal="center"/>
    </xf>
    <xf numFmtId="0" fontId="14" fillId="0" borderId="0" xfId="7" applyFont="1" applyAlignment="1">
      <alignment horizontal="left"/>
    </xf>
    <xf numFmtId="0" fontId="19" fillId="0" borderId="0" xfId="7" applyBorder="1" applyAlignment="1" applyProtection="1">
      <alignment horizontal="left"/>
      <protection locked="0"/>
    </xf>
    <xf numFmtId="2" fontId="19" fillId="5" borderId="87" xfId="7" applyNumberFormat="1" applyFill="1" applyBorder="1" applyAlignment="1">
      <alignment horizontal="center"/>
    </xf>
    <xf numFmtId="0" fontId="19" fillId="5" borderId="15" xfId="7" applyFill="1" applyBorder="1" applyAlignment="1">
      <alignment horizontal="center"/>
    </xf>
    <xf numFmtId="0" fontId="19" fillId="0" borderId="0" xfId="7" applyAlignment="1">
      <alignment horizontal="left"/>
    </xf>
    <xf numFmtId="2" fontId="19" fillId="70" borderId="94" xfId="7" applyNumberFormat="1" applyFill="1" applyBorder="1" applyAlignment="1">
      <alignment horizontal="center"/>
    </xf>
    <xf numFmtId="0" fontId="19" fillId="0" borderId="0" xfId="7" applyBorder="1" applyAlignment="1">
      <alignment horizontal="center"/>
    </xf>
    <xf numFmtId="0" fontId="19" fillId="0" borderId="2" xfId="7" applyBorder="1" applyProtection="1">
      <protection locked="0"/>
    </xf>
    <xf numFmtId="0" fontId="19" fillId="0" borderId="3" xfId="7" applyBorder="1" applyProtection="1">
      <protection locked="0"/>
    </xf>
    <xf numFmtId="0" fontId="19" fillId="0" borderId="3" xfId="7" applyBorder="1"/>
    <xf numFmtId="0" fontId="19" fillId="0" borderId="4" xfId="7" applyBorder="1"/>
    <xf numFmtId="0" fontId="14" fillId="0" borderId="0" xfId="1837" applyFont="1"/>
    <xf numFmtId="0" fontId="109" fillId="0" borderId="0" xfId="1837"/>
    <xf numFmtId="0" fontId="19" fillId="0" borderId="0" xfId="1837" applyFont="1"/>
    <xf numFmtId="0" fontId="14" fillId="0" borderId="0" xfId="1837" applyFont="1" applyAlignment="1">
      <alignment horizontal="center"/>
    </xf>
    <xf numFmtId="0" fontId="109" fillId="71" borderId="0" xfId="1837" applyFill="1"/>
    <xf numFmtId="1" fontId="109" fillId="0" borderId="0" xfId="1837" applyNumberFormat="1"/>
    <xf numFmtId="2" fontId="109" fillId="0" borderId="0" xfId="1837" applyNumberFormat="1"/>
    <xf numFmtId="1" fontId="19" fillId="0" borderId="0" xfId="1837" applyNumberFormat="1" applyFont="1"/>
    <xf numFmtId="0" fontId="106" fillId="0" borderId="0" xfId="1837" applyFont="1"/>
    <xf numFmtId="0" fontId="109" fillId="0" borderId="0" xfId="0" applyFont="1" applyFill="1" applyBorder="1"/>
    <xf numFmtId="0" fontId="14" fillId="0" borderId="0" xfId="0" applyFont="1" applyFill="1" applyBorder="1"/>
    <xf numFmtId="0" fontId="14" fillId="0" borderId="0" xfId="7" applyFont="1" applyFill="1" applyBorder="1"/>
    <xf numFmtId="0" fontId="14" fillId="72" borderId="0" xfId="7" applyFont="1" applyFill="1" applyBorder="1"/>
    <xf numFmtId="0" fontId="14" fillId="72" borderId="0" xfId="0" applyFont="1" applyFill="1" applyBorder="1"/>
    <xf numFmtId="2" fontId="109" fillId="0" borderId="0" xfId="0" applyNumberFormat="1" applyFont="1" applyFill="1" applyBorder="1"/>
    <xf numFmtId="2" fontId="19" fillId="0" borderId="0" xfId="7" applyNumberFormat="1" applyFont="1" applyFill="1" applyBorder="1"/>
    <xf numFmtId="0" fontId="109" fillId="72" borderId="0" xfId="0" applyFont="1" applyFill="1" applyBorder="1"/>
    <xf numFmtId="1" fontId="109" fillId="0" borderId="0" xfId="0" applyNumberFormat="1" applyFont="1" applyFill="1" applyBorder="1"/>
    <xf numFmtId="1" fontId="109" fillId="73" borderId="0" xfId="0" applyNumberFormat="1" applyFont="1" applyFill="1" applyBorder="1"/>
    <xf numFmtId="2" fontId="109" fillId="73" borderId="0" xfId="0" applyNumberFormat="1" applyFont="1" applyFill="1" applyBorder="1"/>
    <xf numFmtId="2" fontId="19" fillId="73" borderId="0" xfId="7" applyNumberFormat="1" applyFont="1" applyFill="1" applyBorder="1"/>
    <xf numFmtId="0" fontId="109" fillId="73" borderId="0" xfId="0" applyFont="1" applyFill="1" applyBorder="1"/>
    <xf numFmtId="0" fontId="109" fillId="72" borderId="0" xfId="0" applyFont="1" applyFill="1" applyBorder="1" applyProtection="1">
      <protection locked="0"/>
    </xf>
    <xf numFmtId="0" fontId="109" fillId="0" borderId="0" xfId="0" applyFont="1" applyFill="1" applyBorder="1" applyProtection="1">
      <protection locked="0"/>
    </xf>
    <xf numFmtId="0" fontId="0" fillId="0" borderId="0" xfId="0" applyFill="1" applyBorder="1" applyAlignment="1">
      <alignment horizontal="right"/>
    </xf>
    <xf numFmtId="0" fontId="109" fillId="0" borderId="54" xfId="1837" applyBorder="1"/>
    <xf numFmtId="0" fontId="109" fillId="74" borderId="0" xfId="1837" applyFill="1"/>
    <xf numFmtId="0" fontId="19" fillId="0" borderId="0" xfId="1837" applyFont="1" applyBorder="1" applyAlignment="1"/>
    <xf numFmtId="0" fontId="106" fillId="0" borderId="54" xfId="1837" applyFont="1" applyBorder="1"/>
    <xf numFmtId="0" fontId="19" fillId="0" borderId="29" xfId="1837" applyFont="1" applyBorder="1"/>
    <xf numFmtId="0" fontId="14" fillId="0" borderId="30" xfId="1837" applyFont="1" applyBorder="1"/>
    <xf numFmtId="0" fontId="14" fillId="0" borderId="8" xfId="1837" applyFont="1" applyBorder="1"/>
    <xf numFmtId="0" fontId="106" fillId="0" borderId="30" xfId="1837" applyFont="1" applyBorder="1"/>
    <xf numFmtId="1" fontId="21" fillId="0" borderId="0" xfId="0" applyNumberFormat="1" applyFont="1"/>
    <xf numFmtId="0" fontId="0" fillId="0" borderId="0" xfId="0"/>
    <xf numFmtId="0" fontId="111" fillId="0" borderId="0" xfId="0" applyFont="1"/>
    <xf numFmtId="0" fontId="0" fillId="0" borderId="0" xfId="0" applyAlignment="1">
      <alignment horizontal="right"/>
    </xf>
    <xf numFmtId="0" fontId="10" fillId="0" borderId="0" xfId="0" applyFont="1" applyProtection="1">
      <protection hidden="1"/>
    </xf>
    <xf numFmtId="0" fontId="8" fillId="0" borderId="0" xfId="0" applyFont="1" applyAlignment="1" applyProtection="1">
      <alignment vertical="top"/>
      <protection hidden="1"/>
    </xf>
    <xf numFmtId="0" fontId="0" fillId="0" borderId="0" xfId="0"/>
    <xf numFmtId="0" fontId="6" fillId="0" borderId="0" xfId="0" applyFont="1" applyBorder="1" applyAlignment="1" applyProtection="1">
      <alignment horizontal="left"/>
      <protection hidden="1"/>
    </xf>
    <xf numFmtId="2" fontId="2" fillId="0" borderId="0" xfId="0" applyNumberFormat="1" applyFont="1" applyBorder="1" applyAlignment="1">
      <alignment horizontal="center"/>
    </xf>
    <xf numFmtId="0" fontId="111" fillId="0" borderId="22" xfId="0" applyFont="1" applyBorder="1"/>
    <xf numFmtId="1" fontId="0" fillId="0" borderId="0" xfId="0" applyNumberFormat="1" applyBorder="1" applyAlignment="1">
      <alignment horizontal="left"/>
    </xf>
    <xf numFmtId="0" fontId="0" fillId="0" borderId="0" xfId="0" quotePrefix="1" applyBorder="1" applyAlignment="1">
      <alignment horizontal="right"/>
    </xf>
    <xf numFmtId="0" fontId="112" fillId="0" borderId="0" xfId="0" applyFont="1" applyBorder="1"/>
    <xf numFmtId="2" fontId="112" fillId="0" borderId="0" xfId="0" applyNumberFormat="1" applyFont="1" applyBorder="1" applyAlignment="1">
      <alignment horizontal="center"/>
    </xf>
    <xf numFmtId="0" fontId="114" fillId="75" borderId="22" xfId="0" applyFont="1" applyFill="1" applyBorder="1"/>
    <xf numFmtId="0" fontId="0" fillId="75" borderId="27" xfId="0" applyFill="1" applyBorder="1"/>
    <xf numFmtId="0" fontId="0" fillId="75" borderId="23" xfId="0" applyFill="1" applyBorder="1"/>
    <xf numFmtId="0" fontId="0" fillId="75" borderId="24" xfId="0" applyFill="1" applyBorder="1"/>
    <xf numFmtId="0" fontId="0" fillId="75" borderId="0" xfId="0" applyFill="1" applyBorder="1"/>
    <xf numFmtId="0" fontId="0" fillId="75" borderId="9" xfId="0" applyFill="1" applyBorder="1"/>
    <xf numFmtId="0" fontId="0" fillId="75" borderId="0" xfId="0" quotePrefix="1" applyFill="1" applyBorder="1" applyAlignment="1">
      <alignment horizontal="center"/>
    </xf>
    <xf numFmtId="1" fontId="0" fillId="75" borderId="0" xfId="0" applyNumberFormat="1" applyFill="1" applyBorder="1" applyAlignment="1">
      <alignment horizontal="left"/>
    </xf>
    <xf numFmtId="0" fontId="2" fillId="75" borderId="0" xfId="0" applyFont="1" applyFill="1" applyBorder="1" applyAlignment="1">
      <alignment horizontal="center"/>
    </xf>
    <xf numFmtId="0" fontId="2" fillId="75" borderId="24" xfId="0" applyFont="1" applyFill="1" applyBorder="1"/>
    <xf numFmtId="0" fontId="0" fillId="75" borderId="0" xfId="0" quotePrefix="1" applyFill="1" applyBorder="1" applyAlignment="1">
      <alignment horizontal="right"/>
    </xf>
    <xf numFmtId="2" fontId="2" fillId="75" borderId="0" xfId="0" applyNumberFormat="1" applyFont="1" applyFill="1" applyBorder="1" applyAlignment="1">
      <alignment horizontal="center"/>
    </xf>
    <xf numFmtId="0" fontId="0" fillId="75" borderId="25" xfId="0" applyFill="1" applyBorder="1"/>
    <xf numFmtId="0" fontId="0" fillId="75" borderId="28" xfId="0" applyFill="1" applyBorder="1"/>
    <xf numFmtId="0" fontId="0" fillId="75" borderId="26" xfId="0" applyFill="1" applyBorder="1"/>
    <xf numFmtId="0" fontId="113" fillId="0" borderId="0" xfId="0" applyFont="1" applyFill="1" applyBorder="1" applyAlignment="1" applyProtection="1">
      <alignment vertical="center"/>
      <protection hidden="1"/>
    </xf>
    <xf numFmtId="0" fontId="5" fillId="0" borderId="0" xfId="0" applyFont="1" applyFill="1" applyBorder="1" applyAlignment="1" applyProtection="1">
      <alignment horizontal="left"/>
      <protection locked="0"/>
    </xf>
    <xf numFmtId="0" fontId="0" fillId="0" borderId="0" xfId="0" applyBorder="1" applyAlignment="1" applyProtection="1">
      <alignment vertical="center"/>
      <protection hidden="1"/>
    </xf>
    <xf numFmtId="0" fontId="0" fillId="0" borderId="0" xfId="0"/>
    <xf numFmtId="0" fontId="110" fillId="0" borderId="108" xfId="0" applyFont="1" applyBorder="1"/>
    <xf numFmtId="0" fontId="0" fillId="0" borderId="109" xfId="0" applyBorder="1"/>
    <xf numFmtId="0" fontId="0" fillId="0" borderId="110" xfId="0" applyBorder="1"/>
    <xf numFmtId="0" fontId="0" fillId="0" borderId="111" xfId="0" applyBorder="1"/>
    <xf numFmtId="0" fontId="0" fillId="0" borderId="112" xfId="0" applyBorder="1"/>
    <xf numFmtId="0" fontId="0" fillId="0" borderId="111" xfId="0" quotePrefix="1" applyBorder="1" applyAlignment="1">
      <alignment horizontal="center" vertical="center"/>
    </xf>
    <xf numFmtId="0" fontId="0" fillId="0" borderId="113" xfId="0" applyBorder="1"/>
    <xf numFmtId="0" fontId="0" fillId="0" borderId="114" xfId="0" applyBorder="1"/>
    <xf numFmtId="0" fontId="0" fillId="0" borderId="115" xfId="0" applyBorder="1"/>
    <xf numFmtId="0" fontId="0" fillId="0" borderId="0" xfId="0"/>
    <xf numFmtId="0" fontId="101" fillId="0" borderId="0" xfId="0" applyFont="1" applyBorder="1" applyAlignment="1" applyProtection="1">
      <alignment vertical="center"/>
      <protection locked="0" hidden="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2" xfId="0" applyBorder="1" applyAlignment="1">
      <alignment horizontal="center" vertical="center"/>
    </xf>
    <xf numFmtId="0" fontId="0" fillId="0" borderId="0" xfId="0"/>
    <xf numFmtId="0" fontId="109" fillId="0" borderId="0" xfId="1837" applyFill="1" applyBorder="1"/>
    <xf numFmtId="1" fontId="21" fillId="4" borderId="0" xfId="0" applyNumberFormat="1" applyFont="1" applyFill="1"/>
    <xf numFmtId="0" fontId="21" fillId="4" borderId="0" xfId="0" applyFont="1" applyFill="1"/>
    <xf numFmtId="0" fontId="0" fillId="0" borderId="0" xfId="0" applyAlignment="1">
      <alignment horizontal="center"/>
    </xf>
    <xf numFmtId="0" fontId="0" fillId="0" borderId="0" xfId="0"/>
    <xf numFmtId="0" fontId="109" fillId="75" borderId="54" xfId="1837" applyFill="1" applyBorder="1"/>
    <xf numFmtId="0" fontId="0" fillId="75" borderId="0" xfId="0" applyFill="1"/>
    <xf numFmtId="0" fontId="109" fillId="76" borderId="54" xfId="1837" applyFill="1" applyBorder="1"/>
    <xf numFmtId="1" fontId="21" fillId="76" borderId="0" xfId="0" applyNumberFormat="1" applyFont="1" applyFill="1"/>
    <xf numFmtId="0" fontId="109" fillId="77" borderId="54" xfId="1837" applyFill="1" applyBorder="1"/>
    <xf numFmtId="1" fontId="21" fillId="77" borderId="0" xfId="0" applyNumberFormat="1" applyFont="1" applyFill="1"/>
    <xf numFmtId="0" fontId="21" fillId="77" borderId="0" xfId="0" applyFont="1" applyFill="1"/>
    <xf numFmtId="2" fontId="0" fillId="0" borderId="0" xfId="0" applyNumberFormat="1" applyBorder="1"/>
    <xf numFmtId="0" fontId="0" fillId="0" borderId="25" xfId="0" applyBorder="1" applyAlignment="1"/>
    <xf numFmtId="0" fontId="19" fillId="76" borderId="54" xfId="1837" applyFont="1" applyFill="1" applyBorder="1"/>
    <xf numFmtId="1" fontId="0" fillId="76" borderId="0" xfId="0" applyNumberFormat="1" applyFill="1"/>
    <xf numFmtId="0" fontId="0" fillId="0" borderId="0" xfId="0" applyAlignment="1">
      <alignment horizontal="center"/>
    </xf>
    <xf numFmtId="0" fontId="0" fillId="0" borderId="0" xfId="0"/>
    <xf numFmtId="0" fontId="0" fillId="0" borderId="0" xfId="0" applyAlignment="1" applyProtection="1">
      <alignment horizontal="center" vertical="center"/>
      <protection hidden="1"/>
    </xf>
    <xf numFmtId="0" fontId="0" fillId="0" borderId="26" xfId="0" applyBorder="1" applyAlignment="1">
      <alignment horizontal="center"/>
    </xf>
    <xf numFmtId="0" fontId="104" fillId="0" borderId="61" xfId="0" applyFont="1" applyBorder="1" applyAlignment="1">
      <alignment horizontal="center"/>
    </xf>
    <xf numFmtId="0" fontId="104" fillId="0" borderId="62"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5" fillId="0" borderId="18" xfId="0" applyFont="1" applyBorder="1" applyAlignment="1">
      <alignment horizontal="center"/>
    </xf>
    <xf numFmtId="0" fontId="25" fillId="0" borderId="19" xfId="0" applyFont="1" applyBorder="1" applyAlignment="1">
      <alignment horizontal="center"/>
    </xf>
    <xf numFmtId="0" fontId="25" fillId="0" borderId="20" xfId="0" applyFont="1" applyBorder="1" applyAlignment="1">
      <alignment horizontal="center"/>
    </xf>
    <xf numFmtId="0" fontId="2" fillId="0" borderId="28"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xf numFmtId="1" fontId="0" fillId="0" borderId="0" xfId="0" applyNumberFormat="1"/>
    <xf numFmtId="167" fontId="0" fillId="0" borderId="0" xfId="0" applyNumberFormat="1"/>
    <xf numFmtId="0" fontId="0" fillId="0" borderId="64" xfId="0" applyFill="1" applyBorder="1"/>
    <xf numFmtId="0" fontId="2" fillId="0" borderId="27" xfId="0" applyFont="1" applyBorder="1" applyAlignment="1"/>
    <xf numFmtId="0" fontId="2" fillId="0" borderId="116" xfId="0" applyFont="1" applyBorder="1" applyAlignment="1"/>
    <xf numFmtId="0" fontId="0" fillId="0" borderId="117" xfId="0" applyBorder="1" applyAlignment="1">
      <alignment horizontal="center"/>
    </xf>
    <xf numFmtId="0" fontId="24" fillId="0" borderId="65" xfId="0" quotePrefix="1" applyFont="1" applyFill="1" applyBorder="1" applyAlignment="1">
      <alignment horizontal="center"/>
    </xf>
    <xf numFmtId="0" fontId="21" fillId="0" borderId="73" xfId="0" applyFont="1" applyBorder="1"/>
    <xf numFmtId="1" fontId="4" fillId="0" borderId="0" xfId="0" applyNumberFormat="1" applyFont="1" applyBorder="1"/>
    <xf numFmtId="0" fontId="21" fillId="0" borderId="65" xfId="0" applyFont="1" applyBorder="1"/>
    <xf numFmtId="0" fontId="21" fillId="0" borderId="72" xfId="0" applyFont="1" applyBorder="1"/>
    <xf numFmtId="0" fontId="5" fillId="0" borderId="0" xfId="0" applyFont="1" applyFill="1" applyBorder="1"/>
    <xf numFmtId="1" fontId="4" fillId="0" borderId="0" xfId="0" applyNumberFormat="1" applyFont="1" applyFill="1" applyBorder="1"/>
    <xf numFmtId="3" fontId="0" fillId="0" borderId="0" xfId="0" applyNumberFormat="1"/>
    <xf numFmtId="0" fontId="0" fillId="0" borderId="0" xfId="0"/>
    <xf numFmtId="0" fontId="0" fillId="0" borderId="0" xfId="0"/>
    <xf numFmtId="2" fontId="3" fillId="0" borderId="25" xfId="0" applyNumberFormat="1" applyFont="1" applyBorder="1" applyAlignment="1">
      <alignment horizontal="center"/>
    </xf>
    <xf numFmtId="1" fontId="3" fillId="0" borderId="26" xfId="0" applyNumberFormat="1" applyFont="1" applyBorder="1" applyAlignment="1">
      <alignment horizontal="center"/>
    </xf>
    <xf numFmtId="0" fontId="117" fillId="0" borderId="0" xfId="0" applyFont="1" applyFill="1" applyBorder="1" applyAlignment="1" applyProtection="1">
      <alignment vertical="center"/>
      <protection hidden="1"/>
    </xf>
    <xf numFmtId="0" fontId="10" fillId="0" borderId="0" xfId="0" applyFont="1" applyBorder="1" applyAlignment="1" applyProtection="1">
      <alignment horizontal="center" wrapText="1"/>
      <protection hidden="1"/>
    </xf>
    <xf numFmtId="0" fontId="10" fillId="0" borderId="0" xfId="0" applyFont="1" applyBorder="1" applyAlignment="1" applyProtection="1">
      <alignment horizontal="center"/>
      <protection hidden="1"/>
    </xf>
    <xf numFmtId="0" fontId="6" fillId="0" borderId="28" xfId="0" applyFont="1" applyBorder="1" applyProtection="1">
      <protection hidden="1"/>
    </xf>
    <xf numFmtId="0" fontId="10" fillId="0" borderId="28" xfId="0" applyFont="1" applyBorder="1" applyAlignment="1" applyProtection="1">
      <alignment horizontal="center" wrapText="1"/>
      <protection hidden="1"/>
    </xf>
    <xf numFmtId="0" fontId="10" fillId="0" borderId="28" xfId="0" applyFont="1" applyBorder="1" applyAlignment="1" applyProtection="1">
      <alignment horizontal="center"/>
      <protection hidden="1"/>
    </xf>
    <xf numFmtId="0" fontId="10" fillId="0" borderId="28" xfId="0" applyFont="1" applyFill="1" applyBorder="1" applyAlignment="1" applyProtection="1">
      <alignment horizontal="center"/>
      <protection hidden="1"/>
    </xf>
    <xf numFmtId="0" fontId="116" fillId="0" borderId="0" xfId="0" applyFont="1" applyFill="1" applyBorder="1" applyAlignment="1" applyProtection="1">
      <alignment horizontal="left" vertical="center"/>
      <protection hidden="1"/>
    </xf>
    <xf numFmtId="0" fontId="10" fillId="0" borderId="9" xfId="0" applyFont="1" applyBorder="1" applyAlignment="1">
      <alignment horizontal="center"/>
    </xf>
    <xf numFmtId="0" fontId="10" fillId="0" borderId="26" xfId="0" applyFont="1" applyBorder="1" applyAlignment="1">
      <alignment horizontal="center"/>
    </xf>
    <xf numFmtId="0" fontId="10" fillId="0" borderId="9" xfId="0" applyFont="1" applyBorder="1" applyAlignment="1" applyProtection="1">
      <alignment horizontal="center" wrapText="1"/>
      <protection hidden="1"/>
    </xf>
    <xf numFmtId="0" fontId="10" fillId="0" borderId="0" xfId="0" applyFont="1" applyFill="1" applyBorder="1" applyAlignment="1" applyProtection="1">
      <alignment horizontal="center"/>
      <protection hidden="1"/>
    </xf>
    <xf numFmtId="169" fontId="10" fillId="0" borderId="0" xfId="0" applyNumberFormat="1" applyFont="1" applyFill="1" applyBorder="1" applyAlignment="1" applyProtection="1">
      <alignment horizontal="center"/>
      <protection hidden="1"/>
    </xf>
    <xf numFmtId="2" fontId="10" fillId="0" borderId="0" xfId="0" applyNumberFormat="1" applyFont="1" applyFill="1" applyBorder="1" applyAlignment="1" applyProtection="1">
      <alignment horizontal="center"/>
      <protection hidden="1"/>
    </xf>
    <xf numFmtId="3" fontId="6" fillId="0" borderId="0" xfId="0" applyNumberFormat="1" applyFont="1" applyFill="1" applyBorder="1" applyAlignment="1" applyProtection="1">
      <alignment horizontal="center"/>
      <protection hidden="1"/>
    </xf>
    <xf numFmtId="2" fontId="6" fillId="0" borderId="0" xfId="0" applyNumberFormat="1" applyFont="1" applyFill="1" applyBorder="1" applyAlignment="1" applyProtection="1">
      <alignment horizontal="center"/>
      <protection hidden="1"/>
    </xf>
    <xf numFmtId="1" fontId="6" fillId="0" borderId="0" xfId="0" applyNumberFormat="1" applyFont="1" applyFill="1" applyBorder="1" applyAlignment="1" applyProtection="1">
      <alignment horizontal="center"/>
      <protection hidden="1"/>
    </xf>
    <xf numFmtId="0" fontId="10" fillId="0" borderId="0" xfId="0" applyFont="1" applyBorder="1" applyAlignment="1" applyProtection="1">
      <alignment horizontal="left"/>
      <protection hidden="1"/>
    </xf>
    <xf numFmtId="0" fontId="10" fillId="75" borderId="0" xfId="0" applyFont="1" applyFill="1" applyBorder="1" applyAlignment="1" applyProtection="1">
      <alignment horizontal="center"/>
      <protection hidden="1"/>
    </xf>
    <xf numFmtId="169" fontId="10" fillId="75" borderId="0" xfId="0" applyNumberFormat="1" applyFont="1" applyFill="1" applyBorder="1" applyAlignment="1" applyProtection="1">
      <alignment horizontal="center"/>
      <protection hidden="1"/>
    </xf>
    <xf numFmtId="2" fontId="10" fillId="75" borderId="0" xfId="0" applyNumberFormat="1" applyFont="1" applyFill="1" applyBorder="1" applyAlignment="1" applyProtection="1">
      <alignment horizontal="center"/>
      <protection hidden="1"/>
    </xf>
    <xf numFmtId="3" fontId="6" fillId="75" borderId="0" xfId="0" applyNumberFormat="1" applyFont="1" applyFill="1" applyBorder="1" applyAlignment="1" applyProtection="1">
      <alignment horizontal="center"/>
      <protection hidden="1"/>
    </xf>
    <xf numFmtId="2" fontId="6" fillId="75" borderId="0" xfId="0" applyNumberFormat="1" applyFont="1" applyFill="1" applyBorder="1" applyAlignment="1" applyProtection="1">
      <alignment horizontal="center"/>
      <protection hidden="1"/>
    </xf>
    <xf numFmtId="1" fontId="6" fillId="75" borderId="0" xfId="0" applyNumberFormat="1" applyFont="1" applyFill="1" applyBorder="1" applyAlignment="1" applyProtection="1">
      <alignment horizontal="center"/>
      <protection hidden="1"/>
    </xf>
    <xf numFmtId="168" fontId="10" fillId="75" borderId="0" xfId="0" applyNumberFormat="1" applyFont="1" applyFill="1" applyBorder="1" applyAlignment="1" applyProtection="1">
      <alignment horizontal="center"/>
      <protection hidden="1"/>
    </xf>
    <xf numFmtId="0" fontId="6" fillId="75" borderId="0" xfId="0" applyFont="1" applyFill="1" applyBorder="1" applyProtection="1">
      <protection hidden="1"/>
    </xf>
    <xf numFmtId="9" fontId="6" fillId="75" borderId="0" xfId="1" applyFont="1" applyFill="1" applyBorder="1" applyProtection="1">
      <protection hidden="1"/>
    </xf>
    <xf numFmtId="0" fontId="101" fillId="75" borderId="0" xfId="2" applyFont="1" applyFill="1" applyBorder="1" applyAlignment="1" applyProtection="1">
      <alignment horizontal="center"/>
      <protection hidden="1"/>
    </xf>
    <xf numFmtId="1" fontId="10" fillId="75" borderId="0" xfId="0" applyNumberFormat="1" applyFont="1" applyFill="1" applyBorder="1" applyAlignment="1" applyProtection="1">
      <alignment horizontal="center"/>
      <protection hidden="1"/>
    </xf>
    <xf numFmtId="0" fontId="18" fillId="75" borderId="0" xfId="0" applyFont="1" applyFill="1" applyBorder="1" applyAlignment="1" applyProtection="1">
      <alignment horizontal="center"/>
      <protection hidden="1"/>
    </xf>
    <xf numFmtId="0" fontId="102" fillId="76" borderId="0" xfId="2" applyFont="1" applyFill="1" applyBorder="1" applyAlignment="1" applyProtection="1">
      <alignment horizontal="center"/>
      <protection locked="0"/>
    </xf>
    <xf numFmtId="0" fontId="102" fillId="77" borderId="0" xfId="2" applyFont="1" applyFill="1" applyBorder="1" applyAlignment="1" applyProtection="1">
      <alignment horizontal="center"/>
      <protection locked="0" hidden="1"/>
    </xf>
    <xf numFmtId="0" fontId="21" fillId="0" borderId="0" xfId="0" applyFont="1" applyFill="1" applyProtection="1">
      <protection hidden="1"/>
    </xf>
    <xf numFmtId="0" fontId="102" fillId="76" borderId="0" xfId="2" applyFont="1" applyFill="1" applyBorder="1" applyAlignment="1" applyProtection="1">
      <alignment horizontal="center"/>
      <protection locked="0" hidden="1"/>
    </xf>
    <xf numFmtId="9" fontId="102" fillId="76" borderId="0" xfId="2" applyNumberFormat="1" applyFont="1" applyFill="1" applyBorder="1" applyAlignment="1" applyProtection="1">
      <alignment horizontal="center"/>
      <protection locked="0"/>
    </xf>
    <xf numFmtId="167" fontId="102" fillId="76" borderId="0" xfId="2" applyNumberFormat="1" applyFont="1" applyFill="1" applyBorder="1" applyAlignment="1" applyProtection="1">
      <alignment horizontal="center"/>
      <protection locked="0"/>
    </xf>
    <xf numFmtId="171" fontId="102" fillId="76" borderId="0" xfId="2" applyNumberFormat="1" applyFont="1" applyFill="1" applyBorder="1" applyAlignment="1" applyProtection="1">
      <alignment horizontal="center"/>
      <protection locked="0"/>
    </xf>
    <xf numFmtId="0" fontId="11" fillId="77" borderId="0" xfId="2" applyFont="1" applyFill="1" applyBorder="1" applyAlignment="1" applyProtection="1">
      <alignment horizontal="center"/>
    </xf>
    <xf numFmtId="0" fontId="11" fillId="76" borderId="0" xfId="2" applyFont="1" applyFill="1" applyBorder="1" applyAlignment="1" applyProtection="1">
      <alignment horizontal="center"/>
    </xf>
    <xf numFmtId="0" fontId="5" fillId="76" borderId="0" xfId="0" applyFont="1" applyFill="1" applyProtection="1">
      <protection hidden="1"/>
    </xf>
    <xf numFmtId="0" fontId="0" fillId="76" borderId="0" xfId="0" applyFill="1" applyProtection="1">
      <protection locked="0" hidden="1"/>
    </xf>
    <xf numFmtId="0" fontId="0" fillId="76" borderId="0" xfId="0" applyFill="1" applyProtection="1">
      <protection hidden="1"/>
    </xf>
    <xf numFmtId="0" fontId="102" fillId="77" borderId="0" xfId="2" applyFont="1" applyFill="1" applyBorder="1" applyAlignment="1" applyProtection="1">
      <alignment horizontal="center"/>
      <protection locked="0" hidden="1"/>
    </xf>
    <xf numFmtId="0" fontId="0" fillId="0" borderId="18" xfId="0" applyBorder="1" applyAlignment="1">
      <alignment horizontal="center"/>
    </xf>
    <xf numFmtId="0" fontId="0" fillId="0" borderId="20" xfId="0" applyBorder="1" applyAlignment="1">
      <alignment horizontal="center"/>
    </xf>
    <xf numFmtId="0" fontId="0" fillId="0" borderId="0" xfId="0"/>
    <xf numFmtId="0" fontId="0" fillId="0" borderId="26" xfId="0" applyBorder="1" applyAlignment="1">
      <alignment horizontal="center"/>
    </xf>
    <xf numFmtId="0" fontId="39" fillId="0" borderId="0" xfId="0" applyFont="1" applyFill="1" applyBorder="1" applyAlignment="1" applyProtection="1">
      <alignment vertical="top"/>
      <protection hidden="1"/>
    </xf>
    <xf numFmtId="0" fontId="102" fillId="76" borderId="122" xfId="2" applyFont="1" applyFill="1" applyBorder="1" applyAlignment="1" applyProtection="1">
      <alignment horizontal="left" vertical="center"/>
    </xf>
    <xf numFmtId="0" fontId="102" fillId="76" borderId="123" xfId="2" applyFont="1" applyFill="1" applyBorder="1" applyAlignment="1" applyProtection="1">
      <alignment horizontal="left" vertical="center"/>
    </xf>
    <xf numFmtId="0" fontId="102" fillId="76" borderId="124" xfId="2" applyFont="1" applyFill="1" applyBorder="1" applyAlignment="1" applyProtection="1">
      <alignment horizontal="left" vertical="center"/>
    </xf>
    <xf numFmtId="0" fontId="102" fillId="77" borderId="0" xfId="0" applyFont="1" applyFill="1" applyBorder="1" applyAlignment="1" applyProtection="1">
      <alignment horizontal="center"/>
      <protection locked="0" hidden="1"/>
    </xf>
    <xf numFmtId="0" fontId="102" fillId="77" borderId="0" xfId="2" applyFont="1" applyFill="1" applyBorder="1" applyAlignment="1" applyProtection="1">
      <alignment horizontal="center"/>
      <protection locked="0"/>
    </xf>
    <xf numFmtId="0" fontId="6" fillId="0" borderId="0" xfId="0" applyFont="1" applyFill="1" applyBorder="1" applyAlignment="1" applyProtection="1">
      <alignment horizontal="right"/>
      <protection hidden="1"/>
    </xf>
    <xf numFmtId="0" fontId="0" fillId="0" borderId="125" xfId="0" applyBorder="1"/>
    <xf numFmtId="0" fontId="0" fillId="0" borderId="126" xfId="0" applyBorder="1"/>
    <xf numFmtId="0" fontId="0" fillId="0" borderId="127" xfId="0" applyBorder="1"/>
    <xf numFmtId="0" fontId="0" fillId="0" borderId="128" xfId="0" applyBorder="1"/>
    <xf numFmtId="0" fontId="0" fillId="11" borderId="0" xfId="0" applyFill="1" applyBorder="1"/>
    <xf numFmtId="0" fontId="0" fillId="0" borderId="129" xfId="0" applyBorder="1"/>
    <xf numFmtId="0" fontId="3" fillId="0" borderId="128" xfId="0" applyFont="1" applyBorder="1" applyAlignment="1">
      <alignment horizontal="center" vertical="center"/>
    </xf>
    <xf numFmtId="0" fontId="3" fillId="0" borderId="0" xfId="0" applyFont="1" applyBorder="1" applyAlignment="1">
      <alignment horizontal="left"/>
    </xf>
    <xf numFmtId="0" fontId="3" fillId="0" borderId="0" xfId="0" applyFont="1" applyBorder="1" applyAlignment="1">
      <alignment horizontal="center" vertical="center"/>
    </xf>
    <xf numFmtId="0" fontId="0" fillId="0" borderId="128" xfId="0" applyBorder="1" applyAlignment="1">
      <alignment horizontal="center"/>
    </xf>
    <xf numFmtId="0" fontId="0" fillId="0" borderId="130" xfId="0" applyBorder="1"/>
    <xf numFmtId="0" fontId="0" fillId="0" borderId="131" xfId="0" applyBorder="1"/>
    <xf numFmtId="0" fontId="0" fillId="0" borderId="132" xfId="0" applyBorder="1"/>
    <xf numFmtId="1" fontId="3" fillId="0" borderId="0" xfId="0" applyNumberFormat="1" applyFont="1" applyBorder="1" applyAlignment="1">
      <alignment horizontal="center" vertical="center"/>
    </xf>
    <xf numFmtId="0" fontId="2" fillId="0" borderId="25" xfId="0" applyFont="1" applyBorder="1"/>
    <xf numFmtId="0" fontId="3" fillId="0" borderId="27" xfId="0" applyFont="1" applyBorder="1"/>
    <xf numFmtId="0" fontId="0" fillId="0" borderId="0" xfId="0" applyAlignment="1"/>
    <xf numFmtId="9" fontId="0" fillId="0" borderId="0" xfId="1" applyFont="1" applyBorder="1"/>
    <xf numFmtId="9" fontId="10" fillId="67" borderId="133" xfId="1" applyFont="1" applyFill="1" applyBorder="1" applyAlignment="1" applyProtection="1">
      <alignment horizontal="center"/>
      <protection hidden="1"/>
    </xf>
    <xf numFmtId="9" fontId="10" fillId="0" borderId="0" xfId="0" applyNumberFormat="1" applyFont="1" applyBorder="1" applyAlignment="1" applyProtection="1">
      <alignment horizontal="left"/>
      <protection hidden="1"/>
    </xf>
    <xf numFmtId="0" fontId="0" fillId="67" borderId="0" xfId="0" applyFill="1" applyBorder="1" applyProtection="1">
      <protection hidden="1"/>
    </xf>
    <xf numFmtId="0" fontId="116" fillId="0" borderId="0" xfId="0" applyFont="1" applyFill="1" applyBorder="1" applyAlignment="1" applyProtection="1">
      <alignment vertical="center"/>
      <protection hidden="1"/>
    </xf>
    <xf numFmtId="0" fontId="102" fillId="77" borderId="0" xfId="2" applyFont="1" applyFill="1" applyBorder="1" applyAlignment="1" applyProtection="1">
      <protection locked="0" hidden="1"/>
    </xf>
    <xf numFmtId="0" fontId="116" fillId="0" borderId="0" xfId="0" applyFont="1" applyFill="1" applyBorder="1" applyAlignment="1" applyProtection="1">
      <alignment vertical="top"/>
      <protection hidden="1"/>
    </xf>
    <xf numFmtId="0" fontId="102" fillId="67" borderId="0" xfId="2" applyFont="1" applyFill="1" applyBorder="1" applyAlignment="1" applyProtection="1">
      <protection locked="0" hidden="1"/>
    </xf>
    <xf numFmtId="0" fontId="119" fillId="0" borderId="134" xfId="0" applyFont="1" applyFill="1" applyBorder="1" applyAlignment="1" applyProtection="1">
      <alignment vertical="center"/>
      <protection hidden="1"/>
    </xf>
    <xf numFmtId="0" fontId="0" fillId="0" borderId="0" xfId="0" applyBorder="1" applyAlignment="1" applyProtection="1">
      <protection hidden="1"/>
    </xf>
    <xf numFmtId="0" fontId="102" fillId="0" borderId="0" xfId="0" applyFont="1" applyBorder="1" applyAlignment="1" applyProtection="1">
      <alignment horizontal="center"/>
      <protection hidden="1"/>
    </xf>
    <xf numFmtId="0" fontId="10" fillId="0" borderId="135" xfId="0" applyFont="1" applyBorder="1" applyAlignment="1" applyProtection="1">
      <alignment horizontal="center" wrapText="1"/>
      <protection hidden="1"/>
    </xf>
    <xf numFmtId="0" fontId="10" fillId="0" borderId="24"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0" fillId="0" borderId="78" xfId="0" applyBorder="1" applyAlignment="1">
      <alignment horizontal="center" vertical="center"/>
    </xf>
    <xf numFmtId="0" fontId="0" fillId="0" borderId="12" xfId="0" applyBorder="1" applyAlignment="1">
      <alignment horizontal="center" vertical="center"/>
    </xf>
    <xf numFmtId="0" fontId="0" fillId="78" borderId="12" xfId="0" applyFill="1" applyBorder="1" applyAlignment="1">
      <alignment horizontal="center" vertical="center"/>
    </xf>
    <xf numFmtId="0" fontId="0" fillId="78" borderId="79" xfId="0" applyFill="1" applyBorder="1" applyAlignment="1">
      <alignment horizontal="center" vertical="center"/>
    </xf>
    <xf numFmtId="0" fontId="0" fillId="78" borderId="139" xfId="0" applyFill="1" applyBorder="1" applyAlignment="1">
      <alignment horizontal="center" vertical="center"/>
    </xf>
    <xf numFmtId="0" fontId="0" fillId="67" borderId="79" xfId="0" applyFill="1" applyBorder="1" applyAlignment="1">
      <alignment horizontal="center" vertical="center"/>
    </xf>
    <xf numFmtId="0" fontId="0" fillId="78" borderId="140" xfId="0" applyFill="1" applyBorder="1" applyAlignment="1">
      <alignment horizontal="center" vertical="center"/>
    </xf>
    <xf numFmtId="0" fontId="0" fillId="78" borderId="138" xfId="0" applyFill="1" applyBorder="1" applyAlignment="1">
      <alignment vertical="center"/>
    </xf>
    <xf numFmtId="0" fontId="0" fillId="78" borderId="0" xfId="0" quotePrefix="1" applyFill="1"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78" borderId="6" xfId="0" quotePrefix="1" applyFill="1" applyBorder="1" applyAlignment="1">
      <alignment horizontal="center" vertical="center"/>
    </xf>
    <xf numFmtId="0" fontId="116" fillId="0" borderId="0" xfId="0" applyFont="1" applyFill="1" applyBorder="1" applyAlignment="1" applyProtection="1">
      <alignment horizontal="center" vertical="center"/>
      <protection hidden="1"/>
    </xf>
    <xf numFmtId="0" fontId="0" fillId="0" borderId="0" xfId="0"/>
    <xf numFmtId="0" fontId="0" fillId="0" borderId="0" xfId="0" applyFill="1"/>
    <xf numFmtId="0" fontId="114" fillId="0" borderId="0" xfId="0" applyFont="1"/>
    <xf numFmtId="0" fontId="0" fillId="0" borderId="0" xfId="0" quotePrefix="1" applyFill="1" applyBorder="1" applyAlignment="1">
      <alignment horizontal="center" vertical="center"/>
    </xf>
    <xf numFmtId="0" fontId="0" fillId="0" borderId="79" xfId="0" applyBorder="1" applyAlignment="1">
      <alignment horizontal="center" vertical="center"/>
    </xf>
    <xf numFmtId="0" fontId="2" fillId="0" borderId="0" xfId="0" applyFont="1" applyProtection="1">
      <protection hidden="1"/>
    </xf>
    <xf numFmtId="0" fontId="0" fillId="0" borderId="0" xfId="0"/>
    <xf numFmtId="0" fontId="0" fillId="0" borderId="0" xfId="0" applyProtection="1">
      <protection hidden="1"/>
    </xf>
    <xf numFmtId="1" fontId="0" fillId="0" borderId="0" xfId="0" applyNumberFormat="1"/>
    <xf numFmtId="2" fontId="6" fillId="75" borderId="0" xfId="0" applyNumberFormat="1" applyFont="1" applyFill="1" applyBorder="1" applyProtection="1">
      <protection hidden="1"/>
    </xf>
    <xf numFmtId="0" fontId="0" fillId="0" borderId="0" xfId="0" applyFill="1" applyBorder="1" applyAlignment="1">
      <alignment vertical="center"/>
    </xf>
    <xf numFmtId="0" fontId="0" fillId="0" borderId="0" xfId="0" applyFill="1" applyProtection="1">
      <protection locked="0" hidden="1"/>
    </xf>
    <xf numFmtId="0" fontId="120" fillId="0" borderId="0" xfId="0" applyFont="1" applyFill="1" applyBorder="1" applyAlignment="1" applyProtection="1">
      <alignment vertical="top"/>
      <protection hidden="1"/>
    </xf>
    <xf numFmtId="0" fontId="120" fillId="0" borderId="0" xfId="0" applyFont="1" applyFill="1" applyBorder="1" applyProtection="1">
      <protection hidden="1"/>
    </xf>
    <xf numFmtId="0" fontId="120" fillId="0" borderId="0" xfId="0" applyFont="1" applyProtection="1">
      <protection hidden="1"/>
    </xf>
    <xf numFmtId="0" fontId="0" fillId="80" borderId="45" xfId="0" applyFill="1" applyBorder="1" applyAlignment="1" applyProtection="1">
      <alignment horizontal="center"/>
      <protection hidden="1"/>
    </xf>
    <xf numFmtId="0" fontId="0" fillId="0" borderId="28" xfId="0" applyBorder="1" applyAlignment="1" applyProtection="1">
      <alignment horizontal="center"/>
      <protection hidden="1"/>
    </xf>
    <xf numFmtId="0" fontId="0" fillId="0" borderId="26" xfId="0" applyBorder="1" applyAlignment="1" applyProtection="1">
      <alignment horizontal="center"/>
      <protection hidden="1"/>
    </xf>
    <xf numFmtId="0" fontId="0" fillId="0" borderId="0" xfId="0" applyAlignment="1" applyProtection="1">
      <alignment horizontal="center"/>
      <protection hidden="1"/>
    </xf>
    <xf numFmtId="0" fontId="119" fillId="0" borderId="134" xfId="0" applyFont="1" applyFill="1" applyBorder="1" applyAlignment="1" applyProtection="1">
      <alignment horizontal="center" vertical="center"/>
      <protection hidden="1"/>
    </xf>
    <xf numFmtId="0" fontId="102" fillId="77" borderId="0" xfId="2" applyFont="1" applyFill="1" applyBorder="1" applyAlignment="1" applyProtection="1">
      <alignment horizontal="center"/>
      <protection locked="0" hidden="1"/>
    </xf>
    <xf numFmtId="0" fontId="10" fillId="0" borderId="45" xfId="0" applyFont="1" applyBorder="1" applyAlignment="1" applyProtection="1">
      <alignment horizontal="center" vertical="center" wrapText="1"/>
      <protection hidden="1"/>
    </xf>
    <xf numFmtId="0" fontId="10" fillId="0" borderId="118"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17" fillId="0" borderId="0" xfId="0" applyFont="1" applyFill="1" applyBorder="1" applyAlignment="1" applyProtection="1">
      <alignment horizontal="center" vertical="center"/>
      <protection hidden="1"/>
    </xf>
    <xf numFmtId="0" fontId="118" fillId="77" borderId="0" xfId="2" applyFont="1" applyFill="1" applyBorder="1" applyAlignment="1" applyProtection="1">
      <alignment horizontal="center"/>
      <protection locked="0" hidden="1"/>
    </xf>
    <xf numFmtId="0" fontId="119" fillId="0" borderId="134" xfId="0" applyFont="1" applyFill="1" applyBorder="1" applyAlignment="1" applyProtection="1">
      <alignment horizontal="left" vertical="center"/>
      <protection hidden="1"/>
    </xf>
    <xf numFmtId="0" fontId="102" fillId="77" borderId="0" xfId="2" applyFont="1" applyFill="1" applyBorder="1" applyAlignment="1" applyProtection="1">
      <alignment horizontal="center" wrapText="1"/>
      <protection locked="0" hidden="1"/>
    </xf>
    <xf numFmtId="0" fontId="102" fillId="77" borderId="28" xfId="2" applyFont="1" applyFill="1" applyBorder="1" applyAlignment="1" applyProtection="1">
      <alignment horizontal="center" wrapText="1"/>
      <protection locked="0" hidden="1"/>
    </xf>
    <xf numFmtId="0" fontId="115" fillId="0" borderId="0" xfId="0" applyFont="1" applyAlignment="1" applyProtection="1">
      <alignment horizontal="center" vertical="top"/>
      <protection hidden="1"/>
    </xf>
    <xf numFmtId="0" fontId="11" fillId="76" borderId="120" xfId="2" applyFont="1" applyFill="1" applyBorder="1" applyAlignment="1" applyProtection="1">
      <alignment horizontal="center"/>
      <protection locked="0"/>
    </xf>
    <xf numFmtId="0" fontId="11" fillId="76" borderId="119" xfId="2" applyFont="1" applyFill="1" applyBorder="1" applyAlignment="1" applyProtection="1">
      <alignment horizontal="center"/>
      <protection locked="0"/>
    </xf>
    <xf numFmtId="0" fontId="11" fillId="76" borderId="121" xfId="2" applyFont="1" applyFill="1" applyBorder="1" applyAlignment="1" applyProtection="1">
      <alignment horizontal="center"/>
      <protection locked="0"/>
    </xf>
    <xf numFmtId="0" fontId="116" fillId="0" borderId="0" xfId="0" applyFont="1" applyFill="1" applyBorder="1" applyAlignment="1" applyProtection="1">
      <alignment horizontal="left" vertical="top"/>
      <protection hidden="1"/>
    </xf>
    <xf numFmtId="0" fontId="116" fillId="0" borderId="0" xfId="0" applyFont="1" applyFill="1" applyBorder="1" applyAlignment="1" applyProtection="1">
      <alignment horizontal="left" vertical="center"/>
      <protection hidden="1"/>
    </xf>
    <xf numFmtId="0" fontId="20" fillId="0" borderId="0" xfId="0" applyFont="1" applyBorder="1" applyAlignment="1" applyProtection="1">
      <alignment horizontal="center"/>
      <protection hidden="1"/>
    </xf>
    <xf numFmtId="0" fontId="117" fillId="0" borderId="0" xfId="1838" applyFont="1" applyFill="1" applyBorder="1" applyAlignment="1" applyProtection="1">
      <alignment horizontal="center" vertical="center"/>
      <protection hidden="1"/>
    </xf>
    <xf numFmtId="0" fontId="0" fillId="75" borderId="0" xfId="0" applyFill="1" applyBorder="1" applyAlignment="1" applyProtection="1">
      <alignment horizontal="center"/>
      <protection hidden="1"/>
    </xf>
    <xf numFmtId="0" fontId="18" fillId="75" borderId="0" xfId="0" applyFont="1" applyFill="1" applyBorder="1" applyAlignment="1" applyProtection="1">
      <alignment horizontal="center"/>
      <protection hidden="1"/>
    </xf>
    <xf numFmtId="0" fontId="13" fillId="77" borderId="0" xfId="0" applyFont="1" applyFill="1" applyBorder="1" applyAlignment="1" applyProtection="1">
      <alignment horizontal="center" vertical="center"/>
      <protection locked="0" hidden="1"/>
    </xf>
    <xf numFmtId="0" fontId="102" fillId="77" borderId="0" xfId="0" applyFont="1" applyFill="1" applyBorder="1" applyAlignment="1" applyProtection="1">
      <alignment horizontal="center" vertical="center"/>
      <protection locked="0" hidden="1"/>
    </xf>
    <xf numFmtId="0" fontId="0" fillId="79" borderId="136" xfId="0" applyFill="1" applyBorder="1" applyAlignment="1">
      <alignment horizontal="center"/>
    </xf>
    <xf numFmtId="0" fontId="0" fillId="0" borderId="137" xfId="0" applyBorder="1" applyAlignment="1">
      <alignment horizontal="center"/>
    </xf>
    <xf numFmtId="0" fontId="115" fillId="0" borderId="134" xfId="0" applyFont="1" applyFill="1" applyBorder="1" applyAlignment="1">
      <alignment horizontal="center"/>
    </xf>
    <xf numFmtId="0" fontId="0" fillId="0" borderId="136" xfId="0" applyBorder="1" applyAlignment="1">
      <alignment horizontal="center" vertical="center"/>
    </xf>
    <xf numFmtId="2" fontId="0" fillId="78" borderId="1" xfId="0" quotePrefix="1" applyNumberFormat="1" applyFill="1" applyBorder="1" applyAlignment="1">
      <alignment horizontal="center" vertical="center"/>
    </xf>
    <xf numFmtId="2" fontId="0" fillId="78" borderId="0" xfId="0" quotePrefix="1" applyNumberFormat="1" applyFill="1" applyBorder="1" applyAlignment="1">
      <alignment horizontal="center" vertical="center"/>
    </xf>
    <xf numFmtId="0" fontId="0" fillId="0" borderId="1" xfId="0" quotePrefix="1" applyBorder="1" applyAlignment="1">
      <alignment horizontal="center" vertical="center"/>
    </xf>
    <xf numFmtId="0" fontId="0" fillId="0" borderId="0" xfId="0" quotePrefix="1" applyBorder="1" applyAlignment="1">
      <alignment horizontal="center" vertical="center"/>
    </xf>
    <xf numFmtId="0" fontId="0" fillId="67" borderId="0" xfId="0" applyFill="1" applyBorder="1" applyAlignment="1">
      <alignment horizontal="center" vertical="center"/>
    </xf>
    <xf numFmtId="0" fontId="0" fillId="79" borderId="142" xfId="0" applyFill="1" applyBorder="1" applyAlignment="1">
      <alignment horizontal="center" vertical="center"/>
    </xf>
    <xf numFmtId="0" fontId="0" fillId="79" borderId="28" xfId="0" applyFill="1" applyBorder="1" applyAlignment="1">
      <alignment horizontal="center" vertical="center"/>
    </xf>
    <xf numFmtId="0" fontId="0" fillId="0" borderId="136" xfId="0" applyBorder="1" applyAlignment="1">
      <alignment horizontal="center"/>
    </xf>
    <xf numFmtId="0" fontId="0" fillId="78" borderId="141" xfId="0" applyFill="1" applyBorder="1" applyAlignment="1">
      <alignment horizontal="center" vertical="center"/>
    </xf>
    <xf numFmtId="0" fontId="0" fillId="78" borderId="137" xfId="0" applyFill="1" applyBorder="1" applyAlignment="1">
      <alignment horizontal="center" vertical="center"/>
    </xf>
    <xf numFmtId="0" fontId="0" fillId="0" borderId="27" xfId="0" applyBorder="1" applyAlignment="1">
      <alignment horizontal="center" vertical="center"/>
    </xf>
    <xf numFmtId="0" fontId="0" fillId="78" borderId="0" xfId="0" applyFill="1" applyBorder="1" applyAlignment="1">
      <alignment horizontal="center" vertical="center"/>
    </xf>
    <xf numFmtId="0" fontId="0" fillId="0" borderId="28" xfId="0" applyBorder="1" applyAlignment="1">
      <alignment horizontal="center" vertical="center"/>
    </xf>
    <xf numFmtId="0" fontId="0" fillId="0" borderId="0" xfId="0" applyFill="1" applyBorder="1" applyAlignment="1">
      <alignment horizontal="center" vertical="center"/>
    </xf>
    <xf numFmtId="0" fontId="0" fillId="67" borderId="142" xfId="0" applyFill="1" applyBorder="1" applyAlignment="1">
      <alignment horizontal="center" vertical="center"/>
    </xf>
    <xf numFmtId="0" fontId="0" fillId="67" borderId="28" xfId="0" applyFill="1" applyBorder="1" applyAlignment="1">
      <alignment horizontal="center" vertical="center"/>
    </xf>
    <xf numFmtId="0" fontId="0" fillId="0" borderId="0" xfId="0" quotePrefix="1" applyFill="1" applyBorder="1" applyAlignment="1">
      <alignment horizontal="center" vertical="center"/>
    </xf>
    <xf numFmtId="0" fontId="114" fillId="0" borderId="134" xfId="0" applyFont="1" applyFill="1" applyBorder="1" applyAlignment="1">
      <alignment horizontal="center" vertical="center"/>
    </xf>
    <xf numFmtId="0" fontId="114" fillId="0" borderId="134" xfId="0" applyFont="1" applyFill="1" applyBorder="1" applyAlignment="1">
      <alignment horizontal="center"/>
    </xf>
    <xf numFmtId="0" fontId="0" fillId="0" borderId="0" xfId="0" applyBorder="1" applyAlignment="1">
      <alignment horizontal="center" vertical="center"/>
    </xf>
    <xf numFmtId="0" fontId="0" fillId="78" borderId="28" xfId="0" applyFill="1" applyBorder="1" applyAlignment="1">
      <alignment horizontal="center" vertical="center"/>
    </xf>
    <xf numFmtId="2" fontId="0" fillId="0" borderId="0" xfId="0" quotePrefix="1" applyNumberFormat="1" applyFill="1" applyBorder="1" applyAlignment="1">
      <alignment horizontal="center" vertical="center"/>
    </xf>
    <xf numFmtId="0" fontId="104" fillId="0" borderId="64" xfId="0" applyFont="1" applyBorder="1" applyAlignment="1">
      <alignment horizontal="center"/>
    </xf>
    <xf numFmtId="0" fontId="104" fillId="0" borderId="0"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xf numFmtId="0" fontId="20" fillId="0" borderId="18"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5" xfId="0" applyFont="1" applyBorder="1" applyAlignment="1">
      <alignment horizontal="center"/>
    </xf>
    <xf numFmtId="0" fontId="2" fillId="0" borderId="28"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19" fillId="68" borderId="55" xfId="7" applyFill="1" applyBorder="1" applyAlignment="1" applyProtection="1">
      <alignment horizontal="center"/>
    </xf>
    <xf numFmtId="0" fontId="19" fillId="68" borderId="89" xfId="7" applyFill="1" applyBorder="1" applyAlignment="1" applyProtection="1">
      <alignment horizontal="center"/>
    </xf>
    <xf numFmtId="0" fontId="19" fillId="0" borderId="87" xfId="7" applyBorder="1" applyAlignment="1" applyProtection="1">
      <alignment horizontal="center" vertical="center"/>
    </xf>
    <xf numFmtId="0" fontId="19" fillId="0" borderId="92" xfId="7" applyBorder="1" applyAlignment="1" applyProtection="1">
      <alignment horizontal="center" vertical="center"/>
    </xf>
    <xf numFmtId="0" fontId="19" fillId="0" borderId="94" xfId="7" applyBorder="1" applyAlignment="1" applyProtection="1">
      <alignment horizontal="center" vertical="center"/>
    </xf>
    <xf numFmtId="0" fontId="19" fillId="0" borderId="88" xfId="7" applyBorder="1" applyAlignment="1" applyProtection="1">
      <alignment horizontal="center" vertical="center" textRotation="90" wrapText="1"/>
    </xf>
    <xf numFmtId="0" fontId="19" fillId="0" borderId="20" xfId="7" applyBorder="1" applyAlignment="1" applyProtection="1">
      <alignment horizontal="center" vertical="center" textRotation="90" wrapText="1"/>
    </xf>
    <xf numFmtId="0" fontId="19" fillId="0" borderId="23" xfId="7" applyBorder="1" applyAlignment="1" applyProtection="1">
      <alignment horizontal="center" vertical="center" textRotation="90" wrapText="1"/>
    </xf>
    <xf numFmtId="0" fontId="19" fillId="0" borderId="89" xfId="7" applyBorder="1" applyAlignment="1" applyProtection="1">
      <alignment horizontal="center" vertical="center" textRotation="90" wrapText="1"/>
    </xf>
    <xf numFmtId="0" fontId="19" fillId="0" borderId="54" xfId="7" applyBorder="1" applyAlignment="1" applyProtection="1">
      <alignment horizontal="center" vertical="center" textRotation="90" wrapText="1"/>
    </xf>
    <xf numFmtId="0" fontId="19" fillId="0" borderId="29" xfId="7" applyBorder="1" applyAlignment="1" applyProtection="1">
      <alignment horizontal="center" vertical="center" textRotation="90" wrapText="1"/>
    </xf>
    <xf numFmtId="0" fontId="19" fillId="0" borderId="90" xfId="7" applyBorder="1" applyAlignment="1" applyProtection="1">
      <alignment horizontal="center" vertical="center" textRotation="90" wrapText="1"/>
    </xf>
    <xf numFmtId="0" fontId="19" fillId="0" borderId="18" xfId="7" applyBorder="1" applyAlignment="1" applyProtection="1">
      <alignment horizontal="center" vertical="center" textRotation="90" wrapText="1"/>
    </xf>
    <xf numFmtId="0" fontId="19" fillId="0" borderId="22" xfId="7" applyBorder="1" applyAlignment="1" applyProtection="1">
      <alignment horizontal="center" vertical="center" textRotation="90" wrapText="1"/>
    </xf>
    <xf numFmtId="0" fontId="19" fillId="0" borderId="54" xfId="7" applyBorder="1" applyAlignment="1" applyProtection="1">
      <alignment horizontal="center" textRotation="90" wrapText="1"/>
    </xf>
    <xf numFmtId="0" fontId="19" fillId="0" borderId="54" xfId="7" applyBorder="1" applyAlignment="1" applyProtection="1">
      <alignment horizontal="center" textRotation="90"/>
    </xf>
    <xf numFmtId="2" fontId="19" fillId="68" borderId="56" xfId="7" applyNumberFormat="1" applyFill="1" applyBorder="1" applyAlignment="1" applyProtection="1">
      <alignment horizontal="center" vertical="center" textRotation="90" wrapText="1"/>
    </xf>
    <xf numFmtId="2" fontId="19" fillId="68" borderId="95" xfId="7" applyNumberFormat="1" applyFill="1" applyBorder="1" applyAlignment="1" applyProtection="1">
      <alignment horizontal="center" vertical="center" textRotation="90" wrapText="1"/>
    </xf>
    <xf numFmtId="1" fontId="19" fillId="68" borderId="54" xfId="7" applyNumberFormat="1" applyFill="1" applyBorder="1" applyAlignment="1" applyProtection="1">
      <alignment horizontal="center" vertical="center" textRotation="90" wrapText="1"/>
    </xf>
    <xf numFmtId="1" fontId="19" fillId="68" borderId="57" xfId="7" applyNumberFormat="1" applyFill="1" applyBorder="1" applyAlignment="1" applyProtection="1">
      <alignment horizontal="center" vertical="center" textRotation="90" wrapText="1"/>
    </xf>
    <xf numFmtId="2" fontId="19" fillId="5" borderId="54" xfId="7" applyNumberFormat="1" applyFill="1" applyBorder="1" applyAlignment="1" applyProtection="1">
      <alignment horizontal="center" vertical="center" textRotation="90" wrapText="1"/>
    </xf>
    <xf numFmtId="2" fontId="19" fillId="5" borderId="57" xfId="7" applyNumberFormat="1" applyFill="1" applyBorder="1" applyAlignment="1" applyProtection="1">
      <alignment horizontal="center" vertical="center" textRotation="90" wrapText="1"/>
    </xf>
    <xf numFmtId="1" fontId="19" fillId="5" borderId="54" xfId="7" applyNumberFormat="1" applyFill="1" applyBorder="1" applyAlignment="1" applyProtection="1">
      <alignment horizontal="center" vertical="center" textRotation="90" wrapText="1"/>
    </xf>
    <xf numFmtId="1" fontId="19" fillId="5" borderId="57" xfId="7" applyNumberFormat="1" applyFill="1" applyBorder="1" applyAlignment="1" applyProtection="1">
      <alignment horizontal="center" vertical="center" textRotation="90" wrapText="1"/>
    </xf>
    <xf numFmtId="2" fontId="19" fillId="68" borderId="54" xfId="7" applyNumberFormat="1" applyFill="1" applyBorder="1" applyAlignment="1" applyProtection="1">
      <alignment horizontal="center" vertical="center" textRotation="90" wrapText="1"/>
    </xf>
    <xf numFmtId="2" fontId="19" fillId="68" borderId="57" xfId="7" applyNumberFormat="1" applyFill="1" applyBorder="1" applyAlignment="1" applyProtection="1">
      <alignment horizontal="center" vertical="center" textRotation="90" wrapText="1"/>
    </xf>
    <xf numFmtId="0" fontId="19" fillId="5" borderId="89" xfId="7" applyFill="1" applyBorder="1" applyAlignment="1" applyProtection="1">
      <alignment horizontal="center"/>
    </xf>
    <xf numFmtId="0" fontId="19" fillId="68" borderId="90" xfId="7" applyFill="1" applyBorder="1" applyAlignment="1" applyProtection="1">
      <alignment horizontal="center"/>
    </xf>
    <xf numFmtId="0" fontId="19" fillId="0" borderId="5" xfId="7" applyFill="1" applyBorder="1" applyAlignment="1" applyProtection="1">
      <alignment horizontal="center" vertical="center" textRotation="90" wrapText="1"/>
    </xf>
    <xf numFmtId="0" fontId="19" fillId="0" borderId="6" xfId="7" applyFill="1" applyBorder="1" applyAlignment="1" applyProtection="1">
      <alignment horizontal="center" vertical="center" textRotation="90"/>
    </xf>
    <xf numFmtId="0" fontId="19" fillId="0" borderId="91" xfId="7" applyFill="1" applyBorder="1" applyAlignment="1" applyProtection="1">
      <alignment horizontal="center" vertical="center" textRotation="90" wrapText="1"/>
    </xf>
    <xf numFmtId="0" fontId="19" fillId="0" borderId="93" xfId="7" applyFill="1" applyBorder="1" applyAlignment="1" applyProtection="1">
      <alignment horizontal="center" vertical="center" textRotation="90" wrapText="1"/>
    </xf>
    <xf numFmtId="0" fontId="19" fillId="0" borderId="97" xfId="7" applyFill="1" applyBorder="1" applyAlignment="1" applyProtection="1">
      <alignment horizontal="center" vertical="center" textRotation="90" wrapText="1"/>
    </xf>
    <xf numFmtId="1" fontId="19" fillId="68" borderId="18" xfId="7" applyNumberFormat="1" applyFill="1" applyBorder="1" applyAlignment="1" applyProtection="1">
      <alignment horizontal="center" vertical="center" textRotation="90" wrapText="1"/>
    </xf>
    <xf numFmtId="1" fontId="19" fillId="68" borderId="96" xfId="7" applyNumberFormat="1" applyFill="1" applyBorder="1" applyAlignment="1" applyProtection="1">
      <alignment horizontal="center" vertical="center" textRotation="90" wrapText="1"/>
    </xf>
    <xf numFmtId="0" fontId="19" fillId="0" borderId="20" xfId="7" applyBorder="1" applyAlignment="1" applyProtection="1">
      <alignment horizontal="center" vertical="center" textRotation="90"/>
    </xf>
    <xf numFmtId="0" fontId="19" fillId="0" borderId="98" xfId="7" applyBorder="1" applyAlignment="1" applyProtection="1">
      <alignment horizontal="center" vertical="center" textRotation="90"/>
    </xf>
    <xf numFmtId="0" fontId="19" fillId="0" borderId="54" xfId="7" applyBorder="1" applyAlignment="1" applyProtection="1">
      <alignment horizontal="center" vertical="center" textRotation="90"/>
    </xf>
    <xf numFmtId="0" fontId="19" fillId="0" borderId="57" xfId="7" applyBorder="1" applyAlignment="1" applyProtection="1">
      <alignment horizontal="center" vertical="center" textRotation="90"/>
    </xf>
    <xf numFmtId="168" fontId="19" fillId="0" borderId="89" xfId="7" applyNumberFormat="1" applyBorder="1" applyAlignment="1" applyProtection="1">
      <alignment horizontal="center" vertical="center" textRotation="90" wrapText="1"/>
    </xf>
    <xf numFmtId="168" fontId="19" fillId="0" borderId="54" xfId="7" applyNumberFormat="1" applyBorder="1" applyAlignment="1" applyProtection="1">
      <alignment horizontal="center" vertical="center" textRotation="90"/>
    </xf>
    <xf numFmtId="168" fontId="19" fillId="0" borderId="57" xfId="7" applyNumberFormat="1" applyBorder="1" applyAlignment="1" applyProtection="1">
      <alignment horizontal="center" vertical="center" textRotation="90"/>
    </xf>
    <xf numFmtId="0" fontId="19" fillId="0" borderId="91" xfId="7" applyBorder="1" applyAlignment="1" applyProtection="1">
      <alignment horizontal="center" vertical="center" textRotation="90"/>
    </xf>
    <xf numFmtId="0" fontId="19" fillId="0" borderId="93" xfId="7" applyBorder="1" applyAlignment="1" applyProtection="1">
      <alignment horizontal="center" vertical="center" textRotation="90"/>
    </xf>
    <xf numFmtId="0" fontId="19" fillId="0" borderId="99" xfId="7" applyBorder="1" applyAlignment="1" applyProtection="1">
      <alignment horizontal="center" vertical="center" textRotation="90"/>
    </xf>
    <xf numFmtId="0" fontId="14" fillId="0" borderId="18" xfId="7" applyFont="1" applyBorder="1" applyAlignment="1">
      <alignment horizontal="center"/>
    </xf>
    <xf numFmtId="0" fontId="14" fillId="0" borderId="20" xfId="7" applyFont="1" applyBorder="1" applyAlignment="1">
      <alignment horizontal="center"/>
    </xf>
    <xf numFmtId="0" fontId="19" fillId="0" borderId="17" xfId="0" applyFont="1" applyFill="1" applyBorder="1" applyAlignment="1">
      <alignment horizontal="center"/>
    </xf>
    <xf numFmtId="0" fontId="109" fillId="0" borderId="32" xfId="0" applyFont="1" applyFill="1" applyBorder="1" applyAlignment="1">
      <alignment horizontal="center"/>
    </xf>
    <xf numFmtId="0" fontId="109" fillId="0" borderId="33" xfId="0" applyFont="1" applyFill="1" applyBorder="1" applyAlignment="1">
      <alignment horizontal="center"/>
    </xf>
    <xf numFmtId="0" fontId="19" fillId="0" borderId="32" xfId="0" applyFont="1" applyFill="1" applyBorder="1" applyAlignment="1">
      <alignment horizontal="center"/>
    </xf>
    <xf numFmtId="0" fontId="19" fillId="0" borderId="33" xfId="0" applyFont="1" applyFill="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9" fillId="0" borderId="54" xfId="1837" applyFont="1" applyBorder="1" applyAlignment="1">
      <alignment horizontal="center"/>
    </xf>
    <xf numFmtId="0" fontId="19" fillId="0" borderId="18" xfId="1837" applyFont="1" applyBorder="1" applyAlignment="1">
      <alignment horizontal="center"/>
    </xf>
    <xf numFmtId="0" fontId="19" fillId="0" borderId="19" xfId="1837" applyFont="1" applyBorder="1" applyAlignment="1">
      <alignment horizontal="center"/>
    </xf>
    <xf numFmtId="0" fontId="19" fillId="0" borderId="20" xfId="1837" applyFont="1" applyBorder="1" applyAlignment="1">
      <alignment horizontal="center"/>
    </xf>
    <xf numFmtId="14" fontId="11" fillId="76" borderId="120" xfId="2" applyNumberFormat="1" applyFont="1" applyFill="1" applyBorder="1" applyAlignment="1" applyProtection="1">
      <alignment horizontal="center"/>
      <protection locked="0"/>
    </xf>
    <xf numFmtId="0" fontId="0" fillId="7" borderId="0" xfId="0" applyFill="1" applyBorder="1" applyProtection="1">
      <protection locked="0"/>
    </xf>
  </cellXfs>
  <cellStyles count="2207">
    <cellStyle name="_Column1" xfId="17"/>
    <cellStyle name="_Column1 2" xfId="18"/>
    <cellStyle name="_Column1 3" xfId="19"/>
    <cellStyle name="_Column2" xfId="20"/>
    <cellStyle name="_Column3" xfId="21"/>
    <cellStyle name="_Column4" xfId="22"/>
    <cellStyle name="_Column5" xfId="23"/>
    <cellStyle name="_Column6" xfId="24"/>
    <cellStyle name="_Column7" xfId="25"/>
    <cellStyle name="_Data" xfId="26"/>
    <cellStyle name="_Data 2" xfId="27"/>
    <cellStyle name="_Header" xfId="28"/>
    <cellStyle name="_Row1" xfId="29"/>
    <cellStyle name="_Row1 2" xfId="30"/>
    <cellStyle name="_Row1 3" xfId="31"/>
    <cellStyle name="_Row2" xfId="32"/>
    <cellStyle name="_Row3" xfId="33"/>
    <cellStyle name="_Row4" xfId="34"/>
    <cellStyle name="_Row4 2" xfId="35"/>
    <cellStyle name="_Row5" xfId="36"/>
    <cellStyle name="_Row6" xfId="37"/>
    <cellStyle name="_Row7" xfId="38"/>
    <cellStyle name="20 % - Akzent1 2" xfId="39"/>
    <cellStyle name="20 % - Akzent1 2 2" xfId="40"/>
    <cellStyle name="20 % - Akzent1 2 3" xfId="41"/>
    <cellStyle name="20 % - Akzent1 2 4" xfId="42"/>
    <cellStyle name="20 % - Akzent2 2" xfId="43"/>
    <cellStyle name="20 % - Akzent2 2 2" xfId="44"/>
    <cellStyle name="20 % - Akzent2 2 3" xfId="45"/>
    <cellStyle name="20 % - Akzent2 2 4" xfId="46"/>
    <cellStyle name="20 % - Akzent3 2" xfId="47"/>
    <cellStyle name="20 % - Akzent3 2 2" xfId="48"/>
    <cellStyle name="20 % - Akzent3 2 3" xfId="49"/>
    <cellStyle name="20 % - Akzent3 2 4" xfId="50"/>
    <cellStyle name="20 % - Akzent4 2" xfId="51"/>
    <cellStyle name="20 % - Akzent4 2 2" xfId="52"/>
    <cellStyle name="20 % - Akzent4 2 3" xfId="53"/>
    <cellStyle name="20 % - Akzent4 2 4" xfId="54"/>
    <cellStyle name="20 % - Akzent5 2" xfId="55"/>
    <cellStyle name="20 % - Akzent5 2 2" xfId="56"/>
    <cellStyle name="20 % - Akzent5 2 3" xfId="57"/>
    <cellStyle name="20 % - Akzent5 2 4" xfId="58"/>
    <cellStyle name="20 % - Akzent6 2" xfId="59"/>
    <cellStyle name="20 % - Akzent6 2 2" xfId="60"/>
    <cellStyle name="20 % - Akzent6 2 3" xfId="61"/>
    <cellStyle name="20 % - Akzent6 2 4" xfId="62"/>
    <cellStyle name="20% - Accent1 2" xfId="63"/>
    <cellStyle name="20% - Accent1 2 2" xfId="64"/>
    <cellStyle name="20% - Accent1 2 2 2" xfId="65"/>
    <cellStyle name="20% - Accent1 2 2 2 2" xfId="66"/>
    <cellStyle name="20% - Accent1 2 2 2 2 2" xfId="67"/>
    <cellStyle name="20% - Accent1 2 2 2 2 3" xfId="68"/>
    <cellStyle name="20% - Accent1 2 2 2 2 4" xfId="69"/>
    <cellStyle name="20% - Accent1 2 2 2 3" xfId="70"/>
    <cellStyle name="20% - Accent1 2 2 2 4" xfId="71"/>
    <cellStyle name="20% - Accent1 2 2 2 5" xfId="72"/>
    <cellStyle name="20% - Accent1 2 2 3" xfId="73"/>
    <cellStyle name="20% - Accent1 2 2 3 2" xfId="74"/>
    <cellStyle name="20% - Accent1 2 2 3 3" xfId="75"/>
    <cellStyle name="20% - Accent1 2 2 3 4" xfId="76"/>
    <cellStyle name="20% - Accent1 2 2 4" xfId="77"/>
    <cellStyle name="20% - Accent1 2 2 5" xfId="78"/>
    <cellStyle name="20% - Accent1 2 2 6" xfId="79"/>
    <cellStyle name="20% - Accent1 2 3" xfId="80"/>
    <cellStyle name="20% - Accent1 2 3 2" xfId="81"/>
    <cellStyle name="20% - Accent1 2 3 2 2" xfId="82"/>
    <cellStyle name="20% - Accent1 2 3 2 3" xfId="83"/>
    <cellStyle name="20% - Accent1 2 3 2 4" xfId="84"/>
    <cellStyle name="20% - Accent1 2 3 3" xfId="85"/>
    <cellStyle name="20% - Accent1 2 3 4" xfId="86"/>
    <cellStyle name="20% - Accent1 2 3 5" xfId="87"/>
    <cellStyle name="20% - Accent1 2 4" xfId="88"/>
    <cellStyle name="20% - Accent1 2 4 2" xfId="89"/>
    <cellStyle name="20% - Accent1 2 4 2 2" xfId="90"/>
    <cellStyle name="20% - Accent1 2 4 2 3" xfId="91"/>
    <cellStyle name="20% - Accent1 2 4 2 4" xfId="92"/>
    <cellStyle name="20% - Accent1 2 4 3" xfId="93"/>
    <cellStyle name="20% - Accent1 2 4 4" xfId="94"/>
    <cellStyle name="20% - Accent1 2 4 5" xfId="95"/>
    <cellStyle name="20% - Accent1 2 5" xfId="96"/>
    <cellStyle name="20% - Accent1 2 5 2" xfId="97"/>
    <cellStyle name="20% - Accent1 2 5 3" xfId="98"/>
    <cellStyle name="20% - Accent1 2 5 4" xfId="99"/>
    <cellStyle name="20% - Accent1 2 6" xfId="100"/>
    <cellStyle name="20% - Accent1 2 6 2" xfId="101"/>
    <cellStyle name="20% - Accent1 2 7" xfId="102"/>
    <cellStyle name="20% - Accent1 2 8" xfId="103"/>
    <cellStyle name="20% - Accent1 2 9" xfId="104"/>
    <cellStyle name="20% - Accent1 3" xfId="105"/>
    <cellStyle name="20% - Accent1 4" xfId="106"/>
    <cellStyle name="20% - Accent1 4 2" xfId="107"/>
    <cellStyle name="20% - Accent1 4 3" xfId="108"/>
    <cellStyle name="20% - Accent1 4 4" xfId="109"/>
    <cellStyle name="20% - Accent1 5" xfId="110"/>
    <cellStyle name="20% - Accent1 6" xfId="111"/>
    <cellStyle name="20% - Accent1 7" xfId="112"/>
    <cellStyle name="20% - Accent1 8" xfId="113"/>
    <cellStyle name="20% - Accent2 2" xfId="114"/>
    <cellStyle name="20% - Accent2 2 2" xfId="115"/>
    <cellStyle name="20% - Accent2 2 2 2" xfId="116"/>
    <cellStyle name="20% - Accent2 2 2 2 2" xfId="117"/>
    <cellStyle name="20% - Accent2 2 2 2 2 2" xfId="118"/>
    <cellStyle name="20% - Accent2 2 2 2 2 3" xfId="119"/>
    <cellStyle name="20% - Accent2 2 2 2 2 4" xfId="120"/>
    <cellStyle name="20% - Accent2 2 2 2 3" xfId="121"/>
    <cellStyle name="20% - Accent2 2 2 2 4" xfId="122"/>
    <cellStyle name="20% - Accent2 2 2 2 5" xfId="123"/>
    <cellStyle name="20% - Accent2 2 2 3" xfId="124"/>
    <cellStyle name="20% - Accent2 2 2 3 2" xfId="125"/>
    <cellStyle name="20% - Accent2 2 2 3 3" xfId="126"/>
    <cellStyle name="20% - Accent2 2 2 3 4" xfId="127"/>
    <cellStyle name="20% - Accent2 2 2 4" xfId="128"/>
    <cellStyle name="20% - Accent2 2 2 5" xfId="129"/>
    <cellStyle name="20% - Accent2 2 2 6" xfId="130"/>
    <cellStyle name="20% - Accent2 2 3" xfId="131"/>
    <cellStyle name="20% - Accent2 2 3 2" xfId="132"/>
    <cellStyle name="20% - Accent2 2 3 2 2" xfId="133"/>
    <cellStyle name="20% - Accent2 2 3 2 3" xfId="134"/>
    <cellStyle name="20% - Accent2 2 3 2 4" xfId="135"/>
    <cellStyle name="20% - Accent2 2 3 3" xfId="136"/>
    <cellStyle name="20% - Accent2 2 3 4" xfId="137"/>
    <cellStyle name="20% - Accent2 2 3 5" xfId="138"/>
    <cellStyle name="20% - Accent2 2 4" xfId="139"/>
    <cellStyle name="20% - Accent2 2 4 2" xfId="140"/>
    <cellStyle name="20% - Accent2 2 4 2 2" xfId="141"/>
    <cellStyle name="20% - Accent2 2 4 2 3" xfId="142"/>
    <cellStyle name="20% - Accent2 2 4 2 4" xfId="143"/>
    <cellStyle name="20% - Accent2 2 4 3" xfId="144"/>
    <cellStyle name="20% - Accent2 2 4 4" xfId="145"/>
    <cellStyle name="20% - Accent2 2 4 5" xfId="146"/>
    <cellStyle name="20% - Accent2 2 5" xfId="147"/>
    <cellStyle name="20% - Accent2 2 5 2" xfId="148"/>
    <cellStyle name="20% - Accent2 2 5 3" xfId="149"/>
    <cellStyle name="20% - Accent2 2 5 4" xfId="150"/>
    <cellStyle name="20% - Accent2 2 6" xfId="151"/>
    <cellStyle name="20% - Accent2 2 6 2" xfId="152"/>
    <cellStyle name="20% - Accent2 2 7" xfId="153"/>
    <cellStyle name="20% - Accent2 2 8" xfId="154"/>
    <cellStyle name="20% - Accent2 2 9" xfId="155"/>
    <cellStyle name="20% - Accent2 3" xfId="156"/>
    <cellStyle name="20% - Accent2 4" xfId="157"/>
    <cellStyle name="20% - Accent2 4 2" xfId="158"/>
    <cellStyle name="20% - Accent2 4 3" xfId="159"/>
    <cellStyle name="20% - Accent2 4 4" xfId="160"/>
    <cellStyle name="20% - Accent2 5" xfId="161"/>
    <cellStyle name="20% - Accent2 6" xfId="162"/>
    <cellStyle name="20% - Accent2 7" xfId="163"/>
    <cellStyle name="20% - Accent2 8" xfId="164"/>
    <cellStyle name="20% - Accent3 2" xfId="165"/>
    <cellStyle name="20% - Accent3 2 2" xfId="166"/>
    <cellStyle name="20% - Accent3 2 2 2" xfId="167"/>
    <cellStyle name="20% - Accent3 2 2 2 2" xfId="168"/>
    <cellStyle name="20% - Accent3 2 2 2 2 2" xfId="169"/>
    <cellStyle name="20% - Accent3 2 2 2 2 3" xfId="170"/>
    <cellStyle name="20% - Accent3 2 2 2 2 4" xfId="171"/>
    <cellStyle name="20% - Accent3 2 2 2 3" xfId="172"/>
    <cellStyle name="20% - Accent3 2 2 2 4" xfId="173"/>
    <cellStyle name="20% - Accent3 2 2 2 5" xfId="174"/>
    <cellStyle name="20% - Accent3 2 2 3" xfId="175"/>
    <cellStyle name="20% - Accent3 2 2 3 2" xfId="176"/>
    <cellStyle name="20% - Accent3 2 2 3 3" xfId="177"/>
    <cellStyle name="20% - Accent3 2 2 3 4" xfId="178"/>
    <cellStyle name="20% - Accent3 2 2 4" xfId="179"/>
    <cellStyle name="20% - Accent3 2 2 5" xfId="180"/>
    <cellStyle name="20% - Accent3 2 2 6" xfId="181"/>
    <cellStyle name="20% - Accent3 2 3" xfId="182"/>
    <cellStyle name="20% - Accent3 2 3 2" xfId="183"/>
    <cellStyle name="20% - Accent3 2 3 2 2" xfId="184"/>
    <cellStyle name="20% - Accent3 2 3 2 3" xfId="185"/>
    <cellStyle name="20% - Accent3 2 3 2 4" xfId="186"/>
    <cellStyle name="20% - Accent3 2 3 3" xfId="187"/>
    <cellStyle name="20% - Accent3 2 3 4" xfId="188"/>
    <cellStyle name="20% - Accent3 2 3 5" xfId="189"/>
    <cellStyle name="20% - Accent3 2 4" xfId="190"/>
    <cellStyle name="20% - Accent3 2 4 2" xfId="191"/>
    <cellStyle name="20% - Accent3 2 4 2 2" xfId="192"/>
    <cellStyle name="20% - Accent3 2 4 2 3" xfId="193"/>
    <cellStyle name="20% - Accent3 2 4 2 4" xfId="194"/>
    <cellStyle name="20% - Accent3 2 4 3" xfId="195"/>
    <cellStyle name="20% - Accent3 2 4 4" xfId="196"/>
    <cellStyle name="20% - Accent3 2 4 5" xfId="197"/>
    <cellStyle name="20% - Accent3 2 5" xfId="198"/>
    <cellStyle name="20% - Accent3 2 5 2" xfId="199"/>
    <cellStyle name="20% - Accent3 2 5 3" xfId="200"/>
    <cellStyle name="20% - Accent3 2 5 4" xfId="201"/>
    <cellStyle name="20% - Accent3 2 6" xfId="202"/>
    <cellStyle name="20% - Accent3 2 6 2" xfId="203"/>
    <cellStyle name="20% - Accent3 2 7" xfId="204"/>
    <cellStyle name="20% - Accent3 2 8" xfId="205"/>
    <cellStyle name="20% - Accent3 2 9" xfId="206"/>
    <cellStyle name="20% - Accent3 3" xfId="207"/>
    <cellStyle name="20% - Accent3 4" xfId="208"/>
    <cellStyle name="20% - Accent3 4 2" xfId="209"/>
    <cellStyle name="20% - Accent3 4 3" xfId="210"/>
    <cellStyle name="20% - Accent3 4 4" xfId="211"/>
    <cellStyle name="20% - Accent3 5" xfId="212"/>
    <cellStyle name="20% - Accent3 6" xfId="213"/>
    <cellStyle name="20% - Accent3 7" xfId="214"/>
    <cellStyle name="20% - Accent3 8" xfId="215"/>
    <cellStyle name="20% - Accent4 2" xfId="216"/>
    <cellStyle name="20% - Accent4 2 2" xfId="217"/>
    <cellStyle name="20% - Accent4 2 2 2" xfId="218"/>
    <cellStyle name="20% - Accent4 2 2 2 2" xfId="219"/>
    <cellStyle name="20% - Accent4 2 2 2 2 2" xfId="220"/>
    <cellStyle name="20% - Accent4 2 2 2 2 3" xfId="221"/>
    <cellStyle name="20% - Accent4 2 2 2 2 4" xfId="222"/>
    <cellStyle name="20% - Accent4 2 2 2 3" xfId="223"/>
    <cellStyle name="20% - Accent4 2 2 2 4" xfId="224"/>
    <cellStyle name="20% - Accent4 2 2 2 5" xfId="225"/>
    <cellStyle name="20% - Accent4 2 2 3" xfId="226"/>
    <cellStyle name="20% - Accent4 2 2 3 2" xfId="227"/>
    <cellStyle name="20% - Accent4 2 2 3 3" xfId="228"/>
    <cellStyle name="20% - Accent4 2 2 3 4" xfId="229"/>
    <cellStyle name="20% - Accent4 2 2 4" xfId="230"/>
    <cellStyle name="20% - Accent4 2 2 5" xfId="231"/>
    <cellStyle name="20% - Accent4 2 2 6" xfId="232"/>
    <cellStyle name="20% - Accent4 2 3" xfId="233"/>
    <cellStyle name="20% - Accent4 2 3 2" xfId="234"/>
    <cellStyle name="20% - Accent4 2 3 2 2" xfId="235"/>
    <cellStyle name="20% - Accent4 2 3 2 3" xfId="236"/>
    <cellStyle name="20% - Accent4 2 3 2 4" xfId="237"/>
    <cellStyle name="20% - Accent4 2 3 3" xfId="238"/>
    <cellStyle name="20% - Accent4 2 3 4" xfId="239"/>
    <cellStyle name="20% - Accent4 2 3 5" xfId="240"/>
    <cellStyle name="20% - Accent4 2 4" xfId="241"/>
    <cellStyle name="20% - Accent4 2 4 2" xfId="242"/>
    <cellStyle name="20% - Accent4 2 4 2 2" xfId="243"/>
    <cellStyle name="20% - Accent4 2 4 2 3" xfId="244"/>
    <cellStyle name="20% - Accent4 2 4 2 4" xfId="245"/>
    <cellStyle name="20% - Accent4 2 4 3" xfId="246"/>
    <cellStyle name="20% - Accent4 2 4 4" xfId="247"/>
    <cellStyle name="20% - Accent4 2 4 5" xfId="248"/>
    <cellStyle name="20% - Accent4 2 5" xfId="249"/>
    <cellStyle name="20% - Accent4 2 5 2" xfId="250"/>
    <cellStyle name="20% - Accent4 2 5 3" xfId="251"/>
    <cellStyle name="20% - Accent4 2 5 4" xfId="252"/>
    <cellStyle name="20% - Accent4 2 6" xfId="253"/>
    <cellStyle name="20% - Accent4 2 6 2" xfId="254"/>
    <cellStyle name="20% - Accent4 2 7" xfId="255"/>
    <cellStyle name="20% - Accent4 2 8" xfId="256"/>
    <cellStyle name="20% - Accent4 2 9" xfId="257"/>
    <cellStyle name="20% - Accent4 3" xfId="258"/>
    <cellStyle name="20% - Accent4 4" xfId="259"/>
    <cellStyle name="20% - Accent4 4 2" xfId="260"/>
    <cellStyle name="20% - Accent4 4 3" xfId="261"/>
    <cellStyle name="20% - Accent4 4 4" xfId="262"/>
    <cellStyle name="20% - Accent4 5" xfId="263"/>
    <cellStyle name="20% - Accent4 6" xfId="264"/>
    <cellStyle name="20% - Accent4 7" xfId="265"/>
    <cellStyle name="20% - Accent4 8" xfId="266"/>
    <cellStyle name="20% - Accent5 2" xfId="267"/>
    <cellStyle name="20% - Accent5 2 2" xfId="268"/>
    <cellStyle name="20% - Accent5 2 2 2" xfId="269"/>
    <cellStyle name="20% - Accent5 2 2 2 2" xfId="270"/>
    <cellStyle name="20% - Accent5 2 2 2 2 2" xfId="271"/>
    <cellStyle name="20% - Accent5 2 2 2 2 3" xfId="272"/>
    <cellStyle name="20% - Accent5 2 2 2 2 4" xfId="273"/>
    <cellStyle name="20% - Accent5 2 2 2 3" xfId="274"/>
    <cellStyle name="20% - Accent5 2 2 2 4" xfId="275"/>
    <cellStyle name="20% - Accent5 2 2 2 5" xfId="276"/>
    <cellStyle name="20% - Accent5 2 2 3" xfId="277"/>
    <cellStyle name="20% - Accent5 2 2 3 2" xfId="278"/>
    <cellStyle name="20% - Accent5 2 2 3 3" xfId="279"/>
    <cellStyle name="20% - Accent5 2 2 3 4" xfId="280"/>
    <cellStyle name="20% - Accent5 2 2 4" xfId="281"/>
    <cellStyle name="20% - Accent5 2 2 5" xfId="282"/>
    <cellStyle name="20% - Accent5 2 2 6" xfId="283"/>
    <cellStyle name="20% - Accent5 2 3" xfId="284"/>
    <cellStyle name="20% - Accent5 2 3 2" xfId="285"/>
    <cellStyle name="20% - Accent5 2 3 2 2" xfId="286"/>
    <cellStyle name="20% - Accent5 2 3 2 3" xfId="287"/>
    <cellStyle name="20% - Accent5 2 3 2 4" xfId="288"/>
    <cellStyle name="20% - Accent5 2 3 3" xfId="289"/>
    <cellStyle name="20% - Accent5 2 3 4" xfId="290"/>
    <cellStyle name="20% - Accent5 2 3 5" xfId="291"/>
    <cellStyle name="20% - Accent5 2 4" xfId="292"/>
    <cellStyle name="20% - Accent5 2 4 2" xfId="293"/>
    <cellStyle name="20% - Accent5 2 4 2 2" xfId="294"/>
    <cellStyle name="20% - Accent5 2 4 2 3" xfId="295"/>
    <cellStyle name="20% - Accent5 2 4 2 4" xfId="296"/>
    <cellStyle name="20% - Accent5 2 4 3" xfId="297"/>
    <cellStyle name="20% - Accent5 2 4 4" xfId="298"/>
    <cellStyle name="20% - Accent5 2 4 5" xfId="299"/>
    <cellStyle name="20% - Accent5 2 5" xfId="300"/>
    <cellStyle name="20% - Accent5 2 5 2" xfId="301"/>
    <cellStyle name="20% - Accent5 2 5 3" xfId="302"/>
    <cellStyle name="20% - Accent5 2 5 4" xfId="303"/>
    <cellStyle name="20% - Accent5 2 6" xfId="304"/>
    <cellStyle name="20% - Accent5 2 6 2" xfId="305"/>
    <cellStyle name="20% - Accent5 2 7" xfId="306"/>
    <cellStyle name="20% - Accent5 2 8" xfId="307"/>
    <cellStyle name="20% - Accent5 2 9" xfId="308"/>
    <cellStyle name="20% - Accent5 3" xfId="309"/>
    <cellStyle name="20% - Accent5 4" xfId="310"/>
    <cellStyle name="20% - Accent5 4 2" xfId="311"/>
    <cellStyle name="20% - Accent5 4 3" xfId="312"/>
    <cellStyle name="20% - Accent5 4 4" xfId="313"/>
    <cellStyle name="20% - Accent5 5" xfId="314"/>
    <cellStyle name="20% - Accent5 6" xfId="315"/>
    <cellStyle name="20% - Accent5 7" xfId="316"/>
    <cellStyle name="20% - Accent5 8" xfId="317"/>
    <cellStyle name="20% - Accent6 2" xfId="318"/>
    <cellStyle name="20% - Accent6 2 2" xfId="319"/>
    <cellStyle name="20% - Accent6 2 2 2" xfId="320"/>
    <cellStyle name="20% - Accent6 2 2 2 2" xfId="321"/>
    <cellStyle name="20% - Accent6 2 2 2 2 2" xfId="322"/>
    <cellStyle name="20% - Accent6 2 2 2 2 3" xfId="323"/>
    <cellStyle name="20% - Accent6 2 2 2 2 4" xfId="324"/>
    <cellStyle name="20% - Accent6 2 2 2 3" xfId="325"/>
    <cellStyle name="20% - Accent6 2 2 2 4" xfId="326"/>
    <cellStyle name="20% - Accent6 2 2 2 5" xfId="327"/>
    <cellStyle name="20% - Accent6 2 2 3" xfId="328"/>
    <cellStyle name="20% - Accent6 2 2 3 2" xfId="329"/>
    <cellStyle name="20% - Accent6 2 2 3 3" xfId="330"/>
    <cellStyle name="20% - Accent6 2 2 3 4" xfId="331"/>
    <cellStyle name="20% - Accent6 2 2 4" xfId="332"/>
    <cellStyle name="20% - Accent6 2 2 5" xfId="333"/>
    <cellStyle name="20% - Accent6 2 2 6" xfId="334"/>
    <cellStyle name="20% - Accent6 2 3" xfId="335"/>
    <cellStyle name="20% - Accent6 2 3 2" xfId="336"/>
    <cellStyle name="20% - Accent6 2 3 2 2" xfId="337"/>
    <cellStyle name="20% - Accent6 2 3 2 3" xfId="338"/>
    <cellStyle name="20% - Accent6 2 3 2 4" xfId="339"/>
    <cellStyle name="20% - Accent6 2 3 3" xfId="340"/>
    <cellStyle name="20% - Accent6 2 3 4" xfId="341"/>
    <cellStyle name="20% - Accent6 2 3 5" xfId="342"/>
    <cellStyle name="20% - Accent6 2 4" xfId="343"/>
    <cellStyle name="20% - Accent6 2 4 2" xfId="344"/>
    <cellStyle name="20% - Accent6 2 4 2 2" xfId="345"/>
    <cellStyle name="20% - Accent6 2 4 2 3" xfId="346"/>
    <cellStyle name="20% - Accent6 2 4 2 4" xfId="347"/>
    <cellStyle name="20% - Accent6 2 4 3" xfId="348"/>
    <cellStyle name="20% - Accent6 2 4 4" xfId="349"/>
    <cellStyle name="20% - Accent6 2 4 5" xfId="350"/>
    <cellStyle name="20% - Accent6 2 5" xfId="351"/>
    <cellStyle name="20% - Accent6 2 5 2" xfId="352"/>
    <cellStyle name="20% - Accent6 2 5 3" xfId="353"/>
    <cellStyle name="20% - Accent6 2 5 4" xfId="354"/>
    <cellStyle name="20% - Accent6 2 6" xfId="355"/>
    <cellStyle name="20% - Accent6 2 6 2" xfId="356"/>
    <cellStyle name="20% - Accent6 2 7" xfId="357"/>
    <cellStyle name="20% - Accent6 2 8" xfId="358"/>
    <cellStyle name="20% - Accent6 2 9" xfId="359"/>
    <cellStyle name="20% - Accent6 3" xfId="360"/>
    <cellStyle name="20% - Accent6 4" xfId="361"/>
    <cellStyle name="20% - Accent6 4 2" xfId="362"/>
    <cellStyle name="20% - Accent6 4 3" xfId="363"/>
    <cellStyle name="20% - Accent6 4 4" xfId="364"/>
    <cellStyle name="20% - Accent6 5" xfId="365"/>
    <cellStyle name="20% - Accent6 6" xfId="366"/>
    <cellStyle name="20% - Accent6 7" xfId="367"/>
    <cellStyle name="20% - Accent6 8" xfId="368"/>
    <cellStyle name="40 % - Akzent1 2" xfId="369"/>
    <cellStyle name="40 % - Akzent1 2 2" xfId="370"/>
    <cellStyle name="40 % - Akzent1 2 3" xfId="371"/>
    <cellStyle name="40 % - Akzent1 2 4" xfId="372"/>
    <cellStyle name="40 % - Akzent2 2" xfId="373"/>
    <cellStyle name="40 % - Akzent2 2 2" xfId="374"/>
    <cellStyle name="40 % - Akzent2 2 3" xfId="375"/>
    <cellStyle name="40 % - Akzent2 2 4" xfId="376"/>
    <cellStyle name="40 % - Akzent3 2" xfId="377"/>
    <cellStyle name="40 % - Akzent3 2 2" xfId="378"/>
    <cellStyle name="40 % - Akzent3 2 3" xfId="379"/>
    <cellStyle name="40 % - Akzent3 2 4" xfId="380"/>
    <cellStyle name="40 % - Akzent4 2" xfId="381"/>
    <cellStyle name="40 % - Akzent4 2 2" xfId="382"/>
    <cellStyle name="40 % - Akzent4 2 3" xfId="383"/>
    <cellStyle name="40 % - Akzent4 2 4" xfId="384"/>
    <cellStyle name="40 % - Akzent5 2" xfId="385"/>
    <cellStyle name="40 % - Akzent5 2 2" xfId="386"/>
    <cellStyle name="40 % - Akzent5 2 3" xfId="387"/>
    <cellStyle name="40 % - Akzent5 2 4" xfId="388"/>
    <cellStyle name="40 % - Akzent6 2" xfId="389"/>
    <cellStyle name="40 % - Akzent6 2 2" xfId="390"/>
    <cellStyle name="40 % - Akzent6 2 3" xfId="391"/>
    <cellStyle name="40 % - Akzent6 2 4" xfId="392"/>
    <cellStyle name="40% - Accent1 2" xfId="393"/>
    <cellStyle name="40% - Accent1 2 2" xfId="394"/>
    <cellStyle name="40% - Accent1 2 2 2" xfId="395"/>
    <cellStyle name="40% - Accent1 2 2 2 2" xfId="396"/>
    <cellStyle name="40% - Accent1 2 2 2 2 2" xfId="397"/>
    <cellStyle name="40% - Accent1 2 2 2 2 3" xfId="398"/>
    <cellStyle name="40% - Accent1 2 2 2 2 4" xfId="399"/>
    <cellStyle name="40% - Accent1 2 2 2 3" xfId="400"/>
    <cellStyle name="40% - Accent1 2 2 2 4" xfId="401"/>
    <cellStyle name="40% - Accent1 2 2 2 5" xfId="402"/>
    <cellStyle name="40% - Accent1 2 2 3" xfId="403"/>
    <cellStyle name="40% - Accent1 2 2 3 2" xfId="404"/>
    <cellStyle name="40% - Accent1 2 2 3 3" xfId="405"/>
    <cellStyle name="40% - Accent1 2 2 3 4" xfId="406"/>
    <cellStyle name="40% - Accent1 2 2 4" xfId="407"/>
    <cellStyle name="40% - Accent1 2 2 5" xfId="408"/>
    <cellStyle name="40% - Accent1 2 2 6" xfId="409"/>
    <cellStyle name="40% - Accent1 2 3" xfId="410"/>
    <cellStyle name="40% - Accent1 2 3 2" xfId="411"/>
    <cellStyle name="40% - Accent1 2 3 2 2" xfId="412"/>
    <cellStyle name="40% - Accent1 2 3 2 3" xfId="413"/>
    <cellStyle name="40% - Accent1 2 3 2 4" xfId="414"/>
    <cellStyle name="40% - Accent1 2 3 3" xfId="415"/>
    <cellStyle name="40% - Accent1 2 3 4" xfId="416"/>
    <cellStyle name="40% - Accent1 2 3 5" xfId="417"/>
    <cellStyle name="40% - Accent1 2 4" xfId="418"/>
    <cellStyle name="40% - Accent1 2 4 2" xfId="419"/>
    <cellStyle name="40% - Accent1 2 4 2 2" xfId="420"/>
    <cellStyle name="40% - Accent1 2 4 2 3" xfId="421"/>
    <cellStyle name="40% - Accent1 2 4 2 4" xfId="422"/>
    <cellStyle name="40% - Accent1 2 4 3" xfId="423"/>
    <cellStyle name="40% - Accent1 2 4 4" xfId="424"/>
    <cellStyle name="40% - Accent1 2 4 5" xfId="425"/>
    <cellStyle name="40% - Accent1 2 5" xfId="426"/>
    <cellStyle name="40% - Accent1 2 5 2" xfId="427"/>
    <cellStyle name="40% - Accent1 2 5 3" xfId="428"/>
    <cellStyle name="40% - Accent1 2 5 4" xfId="429"/>
    <cellStyle name="40% - Accent1 2 6" xfId="430"/>
    <cellStyle name="40% - Accent1 2 6 2" xfId="431"/>
    <cellStyle name="40% - Accent1 2 7" xfId="432"/>
    <cellStyle name="40% - Accent1 2 8" xfId="433"/>
    <cellStyle name="40% - Accent1 2 9" xfId="434"/>
    <cellStyle name="40% - Accent1 3" xfId="435"/>
    <cellStyle name="40% - Accent1 4" xfId="436"/>
    <cellStyle name="40% - Accent1 4 2" xfId="437"/>
    <cellStyle name="40% - Accent1 4 3" xfId="438"/>
    <cellStyle name="40% - Accent1 4 4" xfId="439"/>
    <cellStyle name="40% - Accent1 5" xfId="440"/>
    <cellStyle name="40% - Accent1 6" xfId="441"/>
    <cellStyle name="40% - Accent1 7" xfId="442"/>
    <cellStyle name="40% - Accent1 8" xfId="443"/>
    <cellStyle name="40% - Accent2 2" xfId="444"/>
    <cellStyle name="40% - Accent2 2 2" xfId="445"/>
    <cellStyle name="40% - Accent2 2 2 2" xfId="446"/>
    <cellStyle name="40% - Accent2 2 2 2 2" xfId="447"/>
    <cellStyle name="40% - Accent2 2 2 2 2 2" xfId="448"/>
    <cellStyle name="40% - Accent2 2 2 2 2 3" xfId="449"/>
    <cellStyle name="40% - Accent2 2 2 2 2 4" xfId="450"/>
    <cellStyle name="40% - Accent2 2 2 2 3" xfId="451"/>
    <cellStyle name="40% - Accent2 2 2 2 4" xfId="452"/>
    <cellStyle name="40% - Accent2 2 2 2 5" xfId="453"/>
    <cellStyle name="40% - Accent2 2 2 3" xfId="454"/>
    <cellStyle name="40% - Accent2 2 2 3 2" xfId="455"/>
    <cellStyle name="40% - Accent2 2 2 3 3" xfId="456"/>
    <cellStyle name="40% - Accent2 2 2 3 4" xfId="457"/>
    <cellStyle name="40% - Accent2 2 2 4" xfId="458"/>
    <cellStyle name="40% - Accent2 2 2 5" xfId="459"/>
    <cellStyle name="40% - Accent2 2 2 6" xfId="460"/>
    <cellStyle name="40% - Accent2 2 3" xfId="461"/>
    <cellStyle name="40% - Accent2 2 3 2" xfId="462"/>
    <cellStyle name="40% - Accent2 2 3 2 2" xfId="463"/>
    <cellStyle name="40% - Accent2 2 3 2 3" xfId="464"/>
    <cellStyle name="40% - Accent2 2 3 2 4" xfId="465"/>
    <cellStyle name="40% - Accent2 2 3 3" xfId="466"/>
    <cellStyle name="40% - Accent2 2 3 4" xfId="467"/>
    <cellStyle name="40% - Accent2 2 3 5" xfId="468"/>
    <cellStyle name="40% - Accent2 2 4" xfId="469"/>
    <cellStyle name="40% - Accent2 2 4 2" xfId="470"/>
    <cellStyle name="40% - Accent2 2 4 2 2" xfId="471"/>
    <cellStyle name="40% - Accent2 2 4 2 3" xfId="472"/>
    <cellStyle name="40% - Accent2 2 4 2 4" xfId="473"/>
    <cellStyle name="40% - Accent2 2 4 3" xfId="474"/>
    <cellStyle name="40% - Accent2 2 4 4" xfId="475"/>
    <cellStyle name="40% - Accent2 2 4 5" xfId="476"/>
    <cellStyle name="40% - Accent2 2 5" xfId="477"/>
    <cellStyle name="40% - Accent2 2 5 2" xfId="478"/>
    <cellStyle name="40% - Accent2 2 5 3" xfId="479"/>
    <cellStyle name="40% - Accent2 2 5 4" xfId="480"/>
    <cellStyle name="40% - Accent2 2 6" xfId="481"/>
    <cellStyle name="40% - Accent2 2 6 2" xfId="482"/>
    <cellStyle name="40% - Accent2 2 7" xfId="483"/>
    <cellStyle name="40% - Accent2 2 8" xfId="484"/>
    <cellStyle name="40% - Accent2 2 9" xfId="485"/>
    <cellStyle name="40% - Accent2 3" xfId="486"/>
    <cellStyle name="40% - Accent2 4" xfId="487"/>
    <cellStyle name="40% - Accent2 4 2" xfId="488"/>
    <cellStyle name="40% - Accent2 4 3" xfId="489"/>
    <cellStyle name="40% - Accent2 4 4" xfId="490"/>
    <cellStyle name="40% - Accent2 5" xfId="491"/>
    <cellStyle name="40% - Accent2 6" xfId="492"/>
    <cellStyle name="40% - Accent2 7" xfId="493"/>
    <cellStyle name="40% - Accent2 8" xfId="494"/>
    <cellStyle name="40% - Accent3 2" xfId="495"/>
    <cellStyle name="40% - Accent3 2 2" xfId="496"/>
    <cellStyle name="40% - Accent3 2 2 2" xfId="497"/>
    <cellStyle name="40% - Accent3 2 2 2 2" xfId="498"/>
    <cellStyle name="40% - Accent3 2 2 2 2 2" xfId="499"/>
    <cellStyle name="40% - Accent3 2 2 2 2 3" xfId="500"/>
    <cellStyle name="40% - Accent3 2 2 2 2 4" xfId="501"/>
    <cellStyle name="40% - Accent3 2 2 2 3" xfId="502"/>
    <cellStyle name="40% - Accent3 2 2 2 4" xfId="503"/>
    <cellStyle name="40% - Accent3 2 2 2 5" xfId="504"/>
    <cellStyle name="40% - Accent3 2 2 3" xfId="505"/>
    <cellStyle name="40% - Accent3 2 2 3 2" xfId="506"/>
    <cellStyle name="40% - Accent3 2 2 3 3" xfId="507"/>
    <cellStyle name="40% - Accent3 2 2 3 4" xfId="508"/>
    <cellStyle name="40% - Accent3 2 2 4" xfId="509"/>
    <cellStyle name="40% - Accent3 2 2 5" xfId="510"/>
    <cellStyle name="40% - Accent3 2 2 6" xfId="511"/>
    <cellStyle name="40% - Accent3 2 3" xfId="512"/>
    <cellStyle name="40% - Accent3 2 3 2" xfId="513"/>
    <cellStyle name="40% - Accent3 2 3 2 2" xfId="514"/>
    <cellStyle name="40% - Accent3 2 3 2 3" xfId="515"/>
    <cellStyle name="40% - Accent3 2 3 2 4" xfId="516"/>
    <cellStyle name="40% - Accent3 2 3 3" xfId="517"/>
    <cellStyle name="40% - Accent3 2 3 4" xfId="518"/>
    <cellStyle name="40% - Accent3 2 3 5" xfId="519"/>
    <cellStyle name="40% - Accent3 2 4" xfId="520"/>
    <cellStyle name="40% - Accent3 2 4 2" xfId="521"/>
    <cellStyle name="40% - Accent3 2 4 2 2" xfId="522"/>
    <cellStyle name="40% - Accent3 2 4 2 3" xfId="523"/>
    <cellStyle name="40% - Accent3 2 4 2 4" xfId="524"/>
    <cellStyle name="40% - Accent3 2 4 3" xfId="525"/>
    <cellStyle name="40% - Accent3 2 4 4" xfId="526"/>
    <cellStyle name="40% - Accent3 2 4 5" xfId="527"/>
    <cellStyle name="40% - Accent3 2 5" xfId="528"/>
    <cellStyle name="40% - Accent3 2 5 2" xfId="529"/>
    <cellStyle name="40% - Accent3 2 5 3" xfId="530"/>
    <cellStyle name="40% - Accent3 2 5 4" xfId="531"/>
    <cellStyle name="40% - Accent3 2 6" xfId="532"/>
    <cellStyle name="40% - Accent3 2 6 2" xfId="533"/>
    <cellStyle name="40% - Accent3 2 7" xfId="534"/>
    <cellStyle name="40% - Accent3 2 8" xfId="535"/>
    <cellStyle name="40% - Accent3 2 9" xfId="536"/>
    <cellStyle name="40% - Accent3 3" xfId="537"/>
    <cellStyle name="40% - Accent3 4" xfId="538"/>
    <cellStyle name="40% - Accent3 4 2" xfId="539"/>
    <cellStyle name="40% - Accent3 4 3" xfId="540"/>
    <cellStyle name="40% - Accent3 4 4" xfId="541"/>
    <cellStyle name="40% - Accent3 5" xfId="542"/>
    <cellStyle name="40% - Accent3 6" xfId="543"/>
    <cellStyle name="40% - Accent3 7" xfId="544"/>
    <cellStyle name="40% - Accent3 8" xfId="545"/>
    <cellStyle name="40% - Accent4 2" xfId="546"/>
    <cellStyle name="40% - Accent4 2 2" xfId="547"/>
    <cellStyle name="40% - Accent4 2 2 2" xfId="548"/>
    <cellStyle name="40% - Accent4 2 2 2 2" xfId="549"/>
    <cellStyle name="40% - Accent4 2 2 2 2 2" xfId="550"/>
    <cellStyle name="40% - Accent4 2 2 2 2 3" xfId="551"/>
    <cellStyle name="40% - Accent4 2 2 2 2 4" xfId="552"/>
    <cellStyle name="40% - Accent4 2 2 2 3" xfId="553"/>
    <cellStyle name="40% - Accent4 2 2 2 4" xfId="554"/>
    <cellStyle name="40% - Accent4 2 2 2 5" xfId="555"/>
    <cellStyle name="40% - Accent4 2 2 3" xfId="556"/>
    <cellStyle name="40% - Accent4 2 2 3 2" xfId="557"/>
    <cellStyle name="40% - Accent4 2 2 3 3" xfId="558"/>
    <cellStyle name="40% - Accent4 2 2 3 4" xfId="559"/>
    <cellStyle name="40% - Accent4 2 2 4" xfId="560"/>
    <cellStyle name="40% - Accent4 2 2 5" xfId="561"/>
    <cellStyle name="40% - Accent4 2 2 6" xfId="562"/>
    <cellStyle name="40% - Accent4 2 3" xfId="563"/>
    <cellStyle name="40% - Accent4 2 3 2" xfId="564"/>
    <cellStyle name="40% - Accent4 2 3 2 2" xfId="565"/>
    <cellStyle name="40% - Accent4 2 3 2 3" xfId="566"/>
    <cellStyle name="40% - Accent4 2 3 2 4" xfId="567"/>
    <cellStyle name="40% - Accent4 2 3 3" xfId="568"/>
    <cellStyle name="40% - Accent4 2 3 4" xfId="569"/>
    <cellStyle name="40% - Accent4 2 3 5" xfId="570"/>
    <cellStyle name="40% - Accent4 2 4" xfId="571"/>
    <cellStyle name="40% - Accent4 2 4 2" xfId="572"/>
    <cellStyle name="40% - Accent4 2 4 2 2" xfId="573"/>
    <cellStyle name="40% - Accent4 2 4 2 3" xfId="574"/>
    <cellStyle name="40% - Accent4 2 4 2 4" xfId="575"/>
    <cellStyle name="40% - Accent4 2 4 3" xfId="576"/>
    <cellStyle name="40% - Accent4 2 4 4" xfId="577"/>
    <cellStyle name="40% - Accent4 2 4 5" xfId="578"/>
    <cellStyle name="40% - Accent4 2 5" xfId="579"/>
    <cellStyle name="40% - Accent4 2 5 2" xfId="580"/>
    <cellStyle name="40% - Accent4 2 5 3" xfId="581"/>
    <cellStyle name="40% - Accent4 2 5 4" xfId="582"/>
    <cellStyle name="40% - Accent4 2 6" xfId="583"/>
    <cellStyle name="40% - Accent4 2 6 2" xfId="584"/>
    <cellStyle name="40% - Accent4 2 7" xfId="585"/>
    <cellStyle name="40% - Accent4 2 8" xfId="586"/>
    <cellStyle name="40% - Accent4 2 9" xfId="587"/>
    <cellStyle name="40% - Accent4 3" xfId="588"/>
    <cellStyle name="40% - Accent4 4" xfId="589"/>
    <cellStyle name="40% - Accent4 4 2" xfId="590"/>
    <cellStyle name="40% - Accent4 4 3" xfId="591"/>
    <cellStyle name="40% - Accent4 4 4" xfId="592"/>
    <cellStyle name="40% - Accent4 5" xfId="593"/>
    <cellStyle name="40% - Accent4 6" xfId="594"/>
    <cellStyle name="40% - Accent4 7" xfId="595"/>
    <cellStyle name="40% - Accent4 8" xfId="596"/>
    <cellStyle name="40% - Accent5 2" xfId="597"/>
    <cellStyle name="40% - Accent5 2 2" xfId="598"/>
    <cellStyle name="40% - Accent5 2 2 2" xfId="599"/>
    <cellStyle name="40% - Accent5 2 2 2 2" xfId="600"/>
    <cellStyle name="40% - Accent5 2 2 2 2 2" xfId="601"/>
    <cellStyle name="40% - Accent5 2 2 2 2 3" xfId="602"/>
    <cellStyle name="40% - Accent5 2 2 2 2 4" xfId="603"/>
    <cellStyle name="40% - Accent5 2 2 2 3" xfId="604"/>
    <cellStyle name="40% - Accent5 2 2 2 4" xfId="605"/>
    <cellStyle name="40% - Accent5 2 2 2 5" xfId="606"/>
    <cellStyle name="40% - Accent5 2 2 3" xfId="607"/>
    <cellStyle name="40% - Accent5 2 2 3 2" xfId="608"/>
    <cellStyle name="40% - Accent5 2 2 3 3" xfId="609"/>
    <cellStyle name="40% - Accent5 2 2 3 4" xfId="610"/>
    <cellStyle name="40% - Accent5 2 2 4" xfId="611"/>
    <cellStyle name="40% - Accent5 2 2 5" xfId="612"/>
    <cellStyle name="40% - Accent5 2 2 6" xfId="613"/>
    <cellStyle name="40% - Accent5 2 3" xfId="614"/>
    <cellStyle name="40% - Accent5 2 3 2" xfId="615"/>
    <cellStyle name="40% - Accent5 2 3 2 2" xfId="616"/>
    <cellStyle name="40% - Accent5 2 3 2 3" xfId="617"/>
    <cellStyle name="40% - Accent5 2 3 2 4" xfId="618"/>
    <cellStyle name="40% - Accent5 2 3 3" xfId="619"/>
    <cellStyle name="40% - Accent5 2 3 4" xfId="620"/>
    <cellStyle name="40% - Accent5 2 3 5" xfId="621"/>
    <cellStyle name="40% - Accent5 2 4" xfId="622"/>
    <cellStyle name="40% - Accent5 2 4 2" xfId="623"/>
    <cellStyle name="40% - Accent5 2 4 2 2" xfId="624"/>
    <cellStyle name="40% - Accent5 2 4 2 3" xfId="625"/>
    <cellStyle name="40% - Accent5 2 4 2 4" xfId="626"/>
    <cellStyle name="40% - Accent5 2 4 3" xfId="627"/>
    <cellStyle name="40% - Accent5 2 4 4" xfId="628"/>
    <cellStyle name="40% - Accent5 2 4 5" xfId="629"/>
    <cellStyle name="40% - Accent5 2 5" xfId="630"/>
    <cellStyle name="40% - Accent5 2 5 2" xfId="631"/>
    <cellStyle name="40% - Accent5 2 5 3" xfId="632"/>
    <cellStyle name="40% - Accent5 2 5 4" xfId="633"/>
    <cellStyle name="40% - Accent5 2 6" xfId="634"/>
    <cellStyle name="40% - Accent5 2 6 2" xfId="635"/>
    <cellStyle name="40% - Accent5 2 7" xfId="636"/>
    <cellStyle name="40% - Accent5 2 8" xfId="637"/>
    <cellStyle name="40% - Accent5 2 9" xfId="638"/>
    <cellStyle name="40% - Accent5 3" xfId="639"/>
    <cellStyle name="40% - Accent5 4" xfId="640"/>
    <cellStyle name="40% - Accent5 4 2" xfId="641"/>
    <cellStyle name="40% - Accent5 4 3" xfId="642"/>
    <cellStyle name="40% - Accent5 4 4" xfId="643"/>
    <cellStyle name="40% - Accent5 5" xfId="644"/>
    <cellStyle name="40% - Accent5 6" xfId="645"/>
    <cellStyle name="40% - Accent5 7" xfId="646"/>
    <cellStyle name="40% - Accent5 8" xfId="647"/>
    <cellStyle name="40% - Accent6 2" xfId="648"/>
    <cellStyle name="40% - Accent6 2 2" xfId="649"/>
    <cellStyle name="40% - Accent6 2 2 2" xfId="650"/>
    <cellStyle name="40% - Accent6 2 2 2 2" xfId="651"/>
    <cellStyle name="40% - Accent6 2 2 2 2 2" xfId="652"/>
    <cellStyle name="40% - Accent6 2 2 2 2 3" xfId="653"/>
    <cellStyle name="40% - Accent6 2 2 2 2 4" xfId="654"/>
    <cellStyle name="40% - Accent6 2 2 2 3" xfId="655"/>
    <cellStyle name="40% - Accent6 2 2 2 4" xfId="656"/>
    <cellStyle name="40% - Accent6 2 2 2 5" xfId="657"/>
    <cellStyle name="40% - Accent6 2 2 3" xfId="658"/>
    <cellStyle name="40% - Accent6 2 2 3 2" xfId="659"/>
    <cellStyle name="40% - Accent6 2 2 3 3" xfId="660"/>
    <cellStyle name="40% - Accent6 2 2 3 4" xfId="661"/>
    <cellStyle name="40% - Accent6 2 2 4" xfId="662"/>
    <cellStyle name="40% - Accent6 2 2 5" xfId="663"/>
    <cellStyle name="40% - Accent6 2 2 6" xfId="664"/>
    <cellStyle name="40% - Accent6 2 3" xfId="665"/>
    <cellStyle name="40% - Accent6 2 3 2" xfId="666"/>
    <cellStyle name="40% - Accent6 2 3 2 2" xfId="667"/>
    <cellStyle name="40% - Accent6 2 3 2 3" xfId="668"/>
    <cellStyle name="40% - Accent6 2 3 2 4" xfId="669"/>
    <cellStyle name="40% - Accent6 2 3 3" xfId="670"/>
    <cellStyle name="40% - Accent6 2 3 4" xfId="671"/>
    <cellStyle name="40% - Accent6 2 3 5" xfId="672"/>
    <cellStyle name="40% - Accent6 2 4" xfId="673"/>
    <cellStyle name="40% - Accent6 2 4 2" xfId="674"/>
    <cellStyle name="40% - Accent6 2 4 2 2" xfId="675"/>
    <cellStyle name="40% - Accent6 2 4 2 3" xfId="676"/>
    <cellStyle name="40% - Accent6 2 4 2 4" xfId="677"/>
    <cellStyle name="40% - Accent6 2 4 3" xfId="678"/>
    <cellStyle name="40% - Accent6 2 4 4" xfId="679"/>
    <cellStyle name="40% - Accent6 2 4 5" xfId="680"/>
    <cellStyle name="40% - Accent6 2 5" xfId="681"/>
    <cellStyle name="40% - Accent6 2 5 2" xfId="682"/>
    <cellStyle name="40% - Accent6 2 5 3" xfId="683"/>
    <cellStyle name="40% - Accent6 2 5 4" xfId="684"/>
    <cellStyle name="40% - Accent6 2 6" xfId="685"/>
    <cellStyle name="40% - Accent6 2 6 2" xfId="686"/>
    <cellStyle name="40% - Accent6 2 7" xfId="687"/>
    <cellStyle name="40% - Accent6 2 8" xfId="688"/>
    <cellStyle name="40% - Accent6 2 9" xfId="689"/>
    <cellStyle name="40% - Accent6 3" xfId="690"/>
    <cellStyle name="40% - Accent6 4" xfId="691"/>
    <cellStyle name="40% - Accent6 4 2" xfId="692"/>
    <cellStyle name="40% - Accent6 4 3" xfId="693"/>
    <cellStyle name="40% - Accent6 4 4" xfId="694"/>
    <cellStyle name="40% - Accent6 5" xfId="695"/>
    <cellStyle name="40% - Accent6 6" xfId="696"/>
    <cellStyle name="40% - Accent6 7" xfId="697"/>
    <cellStyle name="40% - Accent6 8" xfId="698"/>
    <cellStyle name="60% - Accent1 2" xfId="699"/>
    <cellStyle name="60% - Accent1 3" xfId="700"/>
    <cellStyle name="60% - Accent1 4" xfId="701"/>
    <cellStyle name="60% - Accent2 2" xfId="702"/>
    <cellStyle name="60% - Accent2 3" xfId="703"/>
    <cellStyle name="60% - Accent2 4" xfId="704"/>
    <cellStyle name="60% - Accent3 2" xfId="705"/>
    <cellStyle name="60% - Accent3 3" xfId="706"/>
    <cellStyle name="60% - Accent3 4" xfId="707"/>
    <cellStyle name="60% - Accent4 2" xfId="708"/>
    <cellStyle name="60% - Accent4 3" xfId="709"/>
    <cellStyle name="60% - Accent4 4" xfId="710"/>
    <cellStyle name="60% - Accent5 2" xfId="711"/>
    <cellStyle name="60% - Accent5 3" xfId="712"/>
    <cellStyle name="60% - Accent5 4" xfId="713"/>
    <cellStyle name="60% - Accent6 2" xfId="714"/>
    <cellStyle name="60% - Accent6 3" xfId="715"/>
    <cellStyle name="60% - Accent6 4" xfId="716"/>
    <cellStyle name="Accent1 2" xfId="717"/>
    <cellStyle name="Accent1 3" xfId="718"/>
    <cellStyle name="Accent1 4" xfId="719"/>
    <cellStyle name="Accent2 2" xfId="720"/>
    <cellStyle name="Accent2 3" xfId="721"/>
    <cellStyle name="Accent2 4" xfId="722"/>
    <cellStyle name="Accent3 2" xfId="723"/>
    <cellStyle name="Accent3 3" xfId="724"/>
    <cellStyle name="Accent3 4" xfId="725"/>
    <cellStyle name="Accent4 2" xfId="726"/>
    <cellStyle name="Accent4 3" xfId="727"/>
    <cellStyle name="Accent4 4" xfId="728"/>
    <cellStyle name="Accent5 2" xfId="729"/>
    <cellStyle name="Accent5 3" xfId="730"/>
    <cellStyle name="Accent5 4" xfId="731"/>
    <cellStyle name="Accent6 2" xfId="732"/>
    <cellStyle name="Accent6 3" xfId="733"/>
    <cellStyle name="Accent6 4" xfId="734"/>
    <cellStyle name="Anteckning" xfId="2" builtinId="10"/>
    <cellStyle name="Bad 2" xfId="735"/>
    <cellStyle name="Bad 2 2" xfId="736"/>
    <cellStyle name="Bad 3" xfId="737"/>
    <cellStyle name="Bad 4" xfId="738"/>
    <cellStyle name="Bad 5" xfId="739"/>
    <cellStyle name="Bra" xfId="3" builtinId="26"/>
    <cellStyle name="Calc Currency (0)" xfId="740"/>
    <cellStyle name="Calculation 2" xfId="741"/>
    <cellStyle name="Calculation 3" xfId="742"/>
    <cellStyle name="Calculation 4" xfId="743"/>
    <cellStyle name="Chart Title" xfId="744"/>
    <cellStyle name="Check Cell 2" xfId="745"/>
    <cellStyle name="Check Cell 3" xfId="746"/>
    <cellStyle name="Check Cell 4" xfId="747"/>
    <cellStyle name="Comma 2" xfId="748"/>
    <cellStyle name="Comma 2 10" xfId="1840"/>
    <cellStyle name="Comma 2 2" xfId="749"/>
    <cellStyle name="Comma 2 2 10" xfId="1841"/>
    <cellStyle name="Comma 2 2 2" xfId="750"/>
    <cellStyle name="Comma 2 2 2 2" xfId="751"/>
    <cellStyle name="Comma 2 2 2 2 2" xfId="752"/>
    <cellStyle name="Comma 2 2 2 2 2 2" xfId="753"/>
    <cellStyle name="Comma 2 2 2 2 2 2 2" xfId="754"/>
    <cellStyle name="Comma 2 2 2 2 2 2 2 2" xfId="755"/>
    <cellStyle name="Comma 2 2 2 2 2 2 2 2 2" xfId="1847"/>
    <cellStyle name="Comma 2 2 2 2 2 2 2 3" xfId="756"/>
    <cellStyle name="Comma 2 2 2 2 2 2 2 3 2" xfId="1848"/>
    <cellStyle name="Comma 2 2 2 2 2 2 2 4" xfId="1846"/>
    <cellStyle name="Comma 2 2 2 2 2 2 3" xfId="757"/>
    <cellStyle name="Comma 2 2 2 2 2 2 3 2" xfId="1849"/>
    <cellStyle name="Comma 2 2 2 2 2 2 4" xfId="1845"/>
    <cellStyle name="Comma 2 2 2 2 2 3" xfId="758"/>
    <cellStyle name="Comma 2 2 2 2 2 3 2" xfId="759"/>
    <cellStyle name="Comma 2 2 2 2 2 3 2 2" xfId="1851"/>
    <cellStyle name="Comma 2 2 2 2 2 3 3" xfId="760"/>
    <cellStyle name="Comma 2 2 2 2 2 3 3 2" xfId="1852"/>
    <cellStyle name="Comma 2 2 2 2 2 3 4" xfId="1850"/>
    <cellStyle name="Comma 2 2 2 2 2 4" xfId="761"/>
    <cellStyle name="Comma 2 2 2 2 2 4 2" xfId="1853"/>
    <cellStyle name="Comma 2 2 2 2 2 5" xfId="1844"/>
    <cellStyle name="Comma 2 2 2 2 3" xfId="762"/>
    <cellStyle name="Comma 2 2 2 2 3 2" xfId="763"/>
    <cellStyle name="Comma 2 2 2 2 3 2 2" xfId="764"/>
    <cellStyle name="Comma 2 2 2 2 3 2 2 2" xfId="1856"/>
    <cellStyle name="Comma 2 2 2 2 3 2 3" xfId="765"/>
    <cellStyle name="Comma 2 2 2 2 3 2 3 2" xfId="1857"/>
    <cellStyle name="Comma 2 2 2 2 3 2 4" xfId="1855"/>
    <cellStyle name="Comma 2 2 2 2 3 3" xfId="766"/>
    <cellStyle name="Comma 2 2 2 2 3 3 2" xfId="1858"/>
    <cellStyle name="Comma 2 2 2 2 3 4" xfId="1854"/>
    <cellStyle name="Comma 2 2 2 2 4" xfId="767"/>
    <cellStyle name="Comma 2 2 2 2 4 2" xfId="768"/>
    <cellStyle name="Comma 2 2 2 2 4 2 2" xfId="1860"/>
    <cellStyle name="Comma 2 2 2 2 4 3" xfId="769"/>
    <cellStyle name="Comma 2 2 2 2 4 3 2" xfId="1861"/>
    <cellStyle name="Comma 2 2 2 2 4 4" xfId="1859"/>
    <cellStyle name="Comma 2 2 2 2 5" xfId="770"/>
    <cellStyle name="Comma 2 2 2 2 5 2" xfId="1862"/>
    <cellStyle name="Comma 2 2 2 2 6" xfId="1843"/>
    <cellStyle name="Comma 2 2 2 3" xfId="771"/>
    <cellStyle name="Comma 2 2 2 3 2" xfId="772"/>
    <cellStyle name="Comma 2 2 2 3 2 2" xfId="773"/>
    <cellStyle name="Comma 2 2 2 3 2 2 2" xfId="774"/>
    <cellStyle name="Comma 2 2 2 3 2 2 2 2" xfId="1866"/>
    <cellStyle name="Comma 2 2 2 3 2 2 3" xfId="775"/>
    <cellStyle name="Comma 2 2 2 3 2 2 3 2" xfId="1867"/>
    <cellStyle name="Comma 2 2 2 3 2 2 4" xfId="1865"/>
    <cellStyle name="Comma 2 2 2 3 2 3" xfId="776"/>
    <cellStyle name="Comma 2 2 2 3 2 3 2" xfId="1868"/>
    <cellStyle name="Comma 2 2 2 3 2 4" xfId="1864"/>
    <cellStyle name="Comma 2 2 2 3 3" xfId="777"/>
    <cellStyle name="Comma 2 2 2 3 3 2" xfId="778"/>
    <cellStyle name="Comma 2 2 2 3 3 2 2" xfId="1870"/>
    <cellStyle name="Comma 2 2 2 3 3 3" xfId="779"/>
    <cellStyle name="Comma 2 2 2 3 3 3 2" xfId="1871"/>
    <cellStyle name="Comma 2 2 2 3 3 4" xfId="1869"/>
    <cellStyle name="Comma 2 2 2 3 4" xfId="780"/>
    <cellStyle name="Comma 2 2 2 3 4 2" xfId="1872"/>
    <cellStyle name="Comma 2 2 2 3 5" xfId="1863"/>
    <cellStyle name="Comma 2 2 2 4" xfId="781"/>
    <cellStyle name="Comma 2 2 2 4 2" xfId="782"/>
    <cellStyle name="Comma 2 2 2 4 2 2" xfId="783"/>
    <cellStyle name="Comma 2 2 2 4 2 2 2" xfId="784"/>
    <cellStyle name="Comma 2 2 2 4 2 2 2 2" xfId="1876"/>
    <cellStyle name="Comma 2 2 2 4 2 2 3" xfId="785"/>
    <cellStyle name="Comma 2 2 2 4 2 2 3 2" xfId="1877"/>
    <cellStyle name="Comma 2 2 2 4 2 2 4" xfId="1875"/>
    <cellStyle name="Comma 2 2 2 4 2 3" xfId="786"/>
    <cellStyle name="Comma 2 2 2 4 2 3 2" xfId="1878"/>
    <cellStyle name="Comma 2 2 2 4 2 4" xfId="1874"/>
    <cellStyle name="Comma 2 2 2 4 3" xfId="787"/>
    <cellStyle name="Comma 2 2 2 4 3 2" xfId="788"/>
    <cellStyle name="Comma 2 2 2 4 3 2 2" xfId="1880"/>
    <cellStyle name="Comma 2 2 2 4 3 3" xfId="789"/>
    <cellStyle name="Comma 2 2 2 4 3 3 2" xfId="1881"/>
    <cellStyle name="Comma 2 2 2 4 3 4" xfId="1879"/>
    <cellStyle name="Comma 2 2 2 4 4" xfId="790"/>
    <cellStyle name="Comma 2 2 2 4 4 2" xfId="1882"/>
    <cellStyle name="Comma 2 2 2 4 5" xfId="1873"/>
    <cellStyle name="Comma 2 2 2 5" xfId="791"/>
    <cellStyle name="Comma 2 2 2 5 2" xfId="792"/>
    <cellStyle name="Comma 2 2 2 5 2 2" xfId="793"/>
    <cellStyle name="Comma 2 2 2 5 2 2 2" xfId="1885"/>
    <cellStyle name="Comma 2 2 2 5 2 3" xfId="794"/>
    <cellStyle name="Comma 2 2 2 5 2 3 2" xfId="1886"/>
    <cellStyle name="Comma 2 2 2 5 2 4" xfId="1884"/>
    <cellStyle name="Comma 2 2 2 5 3" xfId="795"/>
    <cellStyle name="Comma 2 2 2 5 3 2" xfId="1887"/>
    <cellStyle name="Comma 2 2 2 5 4" xfId="1883"/>
    <cellStyle name="Comma 2 2 2 6" xfId="796"/>
    <cellStyle name="Comma 2 2 2 6 2" xfId="797"/>
    <cellStyle name="Comma 2 2 2 6 2 2" xfId="1889"/>
    <cellStyle name="Comma 2 2 2 6 3" xfId="798"/>
    <cellStyle name="Comma 2 2 2 6 3 2" xfId="1890"/>
    <cellStyle name="Comma 2 2 2 6 4" xfId="1888"/>
    <cellStyle name="Comma 2 2 2 7" xfId="799"/>
    <cellStyle name="Comma 2 2 2 7 2" xfId="1891"/>
    <cellStyle name="Comma 2 2 2 8" xfId="1842"/>
    <cellStyle name="Comma 2 2 3" xfId="800"/>
    <cellStyle name="Comma 2 2 3 2" xfId="801"/>
    <cellStyle name="Comma 2 2 3 2 2" xfId="802"/>
    <cellStyle name="Comma 2 2 3 2 2 2" xfId="803"/>
    <cellStyle name="Comma 2 2 3 2 2 2 2" xfId="804"/>
    <cellStyle name="Comma 2 2 3 2 2 2 2 2" xfId="1896"/>
    <cellStyle name="Comma 2 2 3 2 2 2 3" xfId="805"/>
    <cellStyle name="Comma 2 2 3 2 2 2 3 2" xfId="1897"/>
    <cellStyle name="Comma 2 2 3 2 2 2 4" xfId="1895"/>
    <cellStyle name="Comma 2 2 3 2 2 3" xfId="806"/>
    <cellStyle name="Comma 2 2 3 2 2 3 2" xfId="1898"/>
    <cellStyle name="Comma 2 2 3 2 2 4" xfId="1894"/>
    <cellStyle name="Comma 2 2 3 2 3" xfId="807"/>
    <cellStyle name="Comma 2 2 3 2 3 2" xfId="808"/>
    <cellStyle name="Comma 2 2 3 2 3 2 2" xfId="1900"/>
    <cellStyle name="Comma 2 2 3 2 3 3" xfId="809"/>
    <cellStyle name="Comma 2 2 3 2 3 3 2" xfId="1901"/>
    <cellStyle name="Comma 2 2 3 2 3 4" xfId="1899"/>
    <cellStyle name="Comma 2 2 3 2 4" xfId="810"/>
    <cellStyle name="Comma 2 2 3 2 4 2" xfId="1902"/>
    <cellStyle name="Comma 2 2 3 2 5" xfId="1893"/>
    <cellStyle name="Comma 2 2 3 3" xfId="811"/>
    <cellStyle name="Comma 2 2 3 3 2" xfId="812"/>
    <cellStyle name="Comma 2 2 3 3 2 2" xfId="813"/>
    <cellStyle name="Comma 2 2 3 3 2 2 2" xfId="1905"/>
    <cellStyle name="Comma 2 2 3 3 2 3" xfId="814"/>
    <cellStyle name="Comma 2 2 3 3 2 3 2" xfId="1906"/>
    <cellStyle name="Comma 2 2 3 3 2 4" xfId="1904"/>
    <cellStyle name="Comma 2 2 3 3 3" xfId="815"/>
    <cellStyle name="Comma 2 2 3 3 3 2" xfId="1907"/>
    <cellStyle name="Comma 2 2 3 3 4" xfId="1903"/>
    <cellStyle name="Comma 2 2 3 4" xfId="816"/>
    <cellStyle name="Comma 2 2 3 4 2" xfId="817"/>
    <cellStyle name="Comma 2 2 3 4 2 2" xfId="1909"/>
    <cellStyle name="Comma 2 2 3 4 3" xfId="818"/>
    <cellStyle name="Comma 2 2 3 4 3 2" xfId="1910"/>
    <cellStyle name="Comma 2 2 3 4 4" xfId="1908"/>
    <cellStyle name="Comma 2 2 3 5" xfId="819"/>
    <cellStyle name="Comma 2 2 3 5 2" xfId="1911"/>
    <cellStyle name="Comma 2 2 3 6" xfId="1892"/>
    <cellStyle name="Comma 2 2 4" xfId="820"/>
    <cellStyle name="Comma 2 2 4 2" xfId="821"/>
    <cellStyle name="Comma 2 2 4 2 2" xfId="822"/>
    <cellStyle name="Comma 2 2 4 2 2 2" xfId="823"/>
    <cellStyle name="Comma 2 2 4 2 2 2 2" xfId="1915"/>
    <cellStyle name="Comma 2 2 4 2 2 3" xfId="824"/>
    <cellStyle name="Comma 2 2 4 2 2 3 2" xfId="1916"/>
    <cellStyle name="Comma 2 2 4 2 2 4" xfId="1914"/>
    <cellStyle name="Comma 2 2 4 2 3" xfId="825"/>
    <cellStyle name="Comma 2 2 4 2 3 2" xfId="1917"/>
    <cellStyle name="Comma 2 2 4 2 4" xfId="1913"/>
    <cellStyle name="Comma 2 2 4 3" xfId="826"/>
    <cellStyle name="Comma 2 2 4 3 2" xfId="827"/>
    <cellStyle name="Comma 2 2 4 3 2 2" xfId="1919"/>
    <cellStyle name="Comma 2 2 4 3 3" xfId="828"/>
    <cellStyle name="Comma 2 2 4 3 3 2" xfId="1920"/>
    <cellStyle name="Comma 2 2 4 3 4" xfId="1918"/>
    <cellStyle name="Comma 2 2 4 4" xfId="829"/>
    <cellStyle name="Comma 2 2 4 4 2" xfId="1921"/>
    <cellStyle name="Comma 2 2 4 5" xfId="1912"/>
    <cellStyle name="Comma 2 2 5" xfId="830"/>
    <cellStyle name="Comma 2 2 5 2" xfId="831"/>
    <cellStyle name="Comma 2 2 5 2 2" xfId="832"/>
    <cellStyle name="Comma 2 2 5 2 2 2" xfId="833"/>
    <cellStyle name="Comma 2 2 5 2 2 2 2" xfId="1925"/>
    <cellStyle name="Comma 2 2 5 2 2 3" xfId="834"/>
    <cellStyle name="Comma 2 2 5 2 2 3 2" xfId="1926"/>
    <cellStyle name="Comma 2 2 5 2 2 4" xfId="1924"/>
    <cellStyle name="Comma 2 2 5 2 3" xfId="835"/>
    <cellStyle name="Comma 2 2 5 2 3 2" xfId="1927"/>
    <cellStyle name="Comma 2 2 5 2 4" xfId="1923"/>
    <cellStyle name="Comma 2 2 5 3" xfId="836"/>
    <cellStyle name="Comma 2 2 5 3 2" xfId="837"/>
    <cellStyle name="Comma 2 2 5 3 2 2" xfId="1929"/>
    <cellStyle name="Comma 2 2 5 3 3" xfId="838"/>
    <cellStyle name="Comma 2 2 5 3 3 2" xfId="1930"/>
    <cellStyle name="Comma 2 2 5 3 4" xfId="1928"/>
    <cellStyle name="Comma 2 2 5 4" xfId="839"/>
    <cellStyle name="Comma 2 2 5 4 2" xfId="1931"/>
    <cellStyle name="Comma 2 2 5 5" xfId="1922"/>
    <cellStyle name="Comma 2 2 6" xfId="840"/>
    <cellStyle name="Comma 2 2 6 2" xfId="841"/>
    <cellStyle name="Comma 2 2 6 2 2" xfId="842"/>
    <cellStyle name="Comma 2 2 6 2 2 2" xfId="1934"/>
    <cellStyle name="Comma 2 2 6 2 3" xfId="843"/>
    <cellStyle name="Comma 2 2 6 2 3 2" xfId="1935"/>
    <cellStyle name="Comma 2 2 6 2 4" xfId="1933"/>
    <cellStyle name="Comma 2 2 6 3" xfId="844"/>
    <cellStyle name="Comma 2 2 6 3 2" xfId="1936"/>
    <cellStyle name="Comma 2 2 6 4" xfId="1932"/>
    <cellStyle name="Comma 2 2 7" xfId="845"/>
    <cellStyle name="Comma 2 2 7 2" xfId="1937"/>
    <cellStyle name="Comma 2 2 8" xfId="846"/>
    <cellStyle name="Comma 2 2 8 2" xfId="847"/>
    <cellStyle name="Comma 2 2 8 2 2" xfId="1939"/>
    <cellStyle name="Comma 2 2 8 3" xfId="848"/>
    <cellStyle name="Comma 2 2 8 3 2" xfId="1940"/>
    <cellStyle name="Comma 2 2 8 4" xfId="1938"/>
    <cellStyle name="Comma 2 2 9" xfId="849"/>
    <cellStyle name="Comma 2 2 9 2" xfId="1941"/>
    <cellStyle name="Comma 2 3" xfId="850"/>
    <cellStyle name="Comma 2 3 2" xfId="851"/>
    <cellStyle name="Comma 2 3 2 2" xfId="852"/>
    <cellStyle name="Comma 2 3 2 2 2" xfId="853"/>
    <cellStyle name="Comma 2 3 2 2 2 2" xfId="854"/>
    <cellStyle name="Comma 2 3 2 2 2 2 2" xfId="855"/>
    <cellStyle name="Comma 2 3 2 2 2 2 2 2" xfId="1947"/>
    <cellStyle name="Comma 2 3 2 2 2 2 3" xfId="856"/>
    <cellStyle name="Comma 2 3 2 2 2 2 3 2" xfId="1948"/>
    <cellStyle name="Comma 2 3 2 2 2 2 4" xfId="1946"/>
    <cellStyle name="Comma 2 3 2 2 2 3" xfId="857"/>
    <cellStyle name="Comma 2 3 2 2 2 3 2" xfId="1949"/>
    <cellStyle name="Comma 2 3 2 2 2 4" xfId="1945"/>
    <cellStyle name="Comma 2 3 2 2 3" xfId="858"/>
    <cellStyle name="Comma 2 3 2 2 3 2" xfId="859"/>
    <cellStyle name="Comma 2 3 2 2 3 2 2" xfId="1951"/>
    <cellStyle name="Comma 2 3 2 2 3 3" xfId="860"/>
    <cellStyle name="Comma 2 3 2 2 3 3 2" xfId="1952"/>
    <cellStyle name="Comma 2 3 2 2 3 4" xfId="1950"/>
    <cellStyle name="Comma 2 3 2 2 4" xfId="861"/>
    <cellStyle name="Comma 2 3 2 2 4 2" xfId="1953"/>
    <cellStyle name="Comma 2 3 2 2 5" xfId="1944"/>
    <cellStyle name="Comma 2 3 2 3" xfId="862"/>
    <cellStyle name="Comma 2 3 2 3 2" xfId="863"/>
    <cellStyle name="Comma 2 3 2 3 2 2" xfId="864"/>
    <cellStyle name="Comma 2 3 2 3 2 2 2" xfId="1956"/>
    <cellStyle name="Comma 2 3 2 3 2 3" xfId="865"/>
    <cellStyle name="Comma 2 3 2 3 2 3 2" xfId="1957"/>
    <cellStyle name="Comma 2 3 2 3 2 4" xfId="1955"/>
    <cellStyle name="Comma 2 3 2 3 3" xfId="866"/>
    <cellStyle name="Comma 2 3 2 3 3 2" xfId="1958"/>
    <cellStyle name="Comma 2 3 2 3 4" xfId="1954"/>
    <cellStyle name="Comma 2 3 2 4" xfId="867"/>
    <cellStyle name="Comma 2 3 2 4 2" xfId="868"/>
    <cellStyle name="Comma 2 3 2 4 2 2" xfId="1960"/>
    <cellStyle name="Comma 2 3 2 4 3" xfId="869"/>
    <cellStyle name="Comma 2 3 2 4 3 2" xfId="1961"/>
    <cellStyle name="Comma 2 3 2 4 4" xfId="1959"/>
    <cellStyle name="Comma 2 3 2 5" xfId="870"/>
    <cellStyle name="Comma 2 3 2 5 2" xfId="1962"/>
    <cellStyle name="Comma 2 3 2 6" xfId="1943"/>
    <cellStyle name="Comma 2 3 3" xfId="871"/>
    <cellStyle name="Comma 2 3 3 2" xfId="872"/>
    <cellStyle name="Comma 2 3 3 2 2" xfId="873"/>
    <cellStyle name="Comma 2 3 3 2 2 2" xfId="874"/>
    <cellStyle name="Comma 2 3 3 2 2 2 2" xfId="1966"/>
    <cellStyle name="Comma 2 3 3 2 2 3" xfId="875"/>
    <cellStyle name="Comma 2 3 3 2 2 3 2" xfId="1967"/>
    <cellStyle name="Comma 2 3 3 2 2 4" xfId="1965"/>
    <cellStyle name="Comma 2 3 3 2 3" xfId="876"/>
    <cellStyle name="Comma 2 3 3 2 3 2" xfId="1968"/>
    <cellStyle name="Comma 2 3 3 2 4" xfId="1964"/>
    <cellStyle name="Comma 2 3 3 3" xfId="877"/>
    <cellStyle name="Comma 2 3 3 3 2" xfId="878"/>
    <cellStyle name="Comma 2 3 3 3 2 2" xfId="1970"/>
    <cellStyle name="Comma 2 3 3 3 3" xfId="879"/>
    <cellStyle name="Comma 2 3 3 3 3 2" xfId="1971"/>
    <cellStyle name="Comma 2 3 3 3 4" xfId="1969"/>
    <cellStyle name="Comma 2 3 3 4" xfId="880"/>
    <cellStyle name="Comma 2 3 3 4 2" xfId="1972"/>
    <cellStyle name="Comma 2 3 3 5" xfId="1963"/>
    <cellStyle name="Comma 2 3 4" xfId="881"/>
    <cellStyle name="Comma 2 3 4 2" xfId="882"/>
    <cellStyle name="Comma 2 3 4 2 2" xfId="883"/>
    <cellStyle name="Comma 2 3 4 2 2 2" xfId="884"/>
    <cellStyle name="Comma 2 3 4 2 2 2 2" xfId="1976"/>
    <cellStyle name="Comma 2 3 4 2 2 3" xfId="885"/>
    <cellStyle name="Comma 2 3 4 2 2 3 2" xfId="1977"/>
    <cellStyle name="Comma 2 3 4 2 2 4" xfId="1975"/>
    <cellStyle name="Comma 2 3 4 2 3" xfId="886"/>
    <cellStyle name="Comma 2 3 4 2 3 2" xfId="1978"/>
    <cellStyle name="Comma 2 3 4 2 4" xfId="1974"/>
    <cellStyle name="Comma 2 3 4 3" xfId="887"/>
    <cellStyle name="Comma 2 3 4 3 2" xfId="888"/>
    <cellStyle name="Comma 2 3 4 3 2 2" xfId="1980"/>
    <cellStyle name="Comma 2 3 4 3 3" xfId="889"/>
    <cellStyle name="Comma 2 3 4 3 3 2" xfId="1981"/>
    <cellStyle name="Comma 2 3 4 3 4" xfId="1979"/>
    <cellStyle name="Comma 2 3 4 4" xfId="890"/>
    <cellStyle name="Comma 2 3 4 4 2" xfId="1982"/>
    <cellStyle name="Comma 2 3 4 5" xfId="1973"/>
    <cellStyle name="Comma 2 3 5" xfId="891"/>
    <cellStyle name="Comma 2 3 5 2" xfId="892"/>
    <cellStyle name="Comma 2 3 5 2 2" xfId="893"/>
    <cellStyle name="Comma 2 3 5 2 2 2" xfId="1985"/>
    <cellStyle name="Comma 2 3 5 2 3" xfId="894"/>
    <cellStyle name="Comma 2 3 5 2 3 2" xfId="1986"/>
    <cellStyle name="Comma 2 3 5 2 4" xfId="1984"/>
    <cellStyle name="Comma 2 3 5 3" xfId="895"/>
    <cellStyle name="Comma 2 3 5 3 2" xfId="1987"/>
    <cellStyle name="Comma 2 3 5 4" xfId="1983"/>
    <cellStyle name="Comma 2 3 6" xfId="896"/>
    <cellStyle name="Comma 2 3 6 2" xfId="897"/>
    <cellStyle name="Comma 2 3 6 2 2" xfId="1989"/>
    <cellStyle name="Comma 2 3 6 3" xfId="898"/>
    <cellStyle name="Comma 2 3 6 3 2" xfId="1990"/>
    <cellStyle name="Comma 2 3 6 4" xfId="1988"/>
    <cellStyle name="Comma 2 3 7" xfId="899"/>
    <cellStyle name="Comma 2 3 7 2" xfId="1991"/>
    <cellStyle name="Comma 2 3 8" xfId="1942"/>
    <cellStyle name="Comma 2 4" xfId="900"/>
    <cellStyle name="Comma 2 4 2" xfId="901"/>
    <cellStyle name="Comma 2 4 2 2" xfId="902"/>
    <cellStyle name="Comma 2 4 2 2 2" xfId="903"/>
    <cellStyle name="Comma 2 4 2 2 2 2" xfId="904"/>
    <cellStyle name="Comma 2 4 2 2 2 2 2" xfId="905"/>
    <cellStyle name="Comma 2 4 2 2 2 2 2 2" xfId="1997"/>
    <cellStyle name="Comma 2 4 2 2 2 2 3" xfId="906"/>
    <cellStyle name="Comma 2 4 2 2 2 2 3 2" xfId="1998"/>
    <cellStyle name="Comma 2 4 2 2 2 2 4" xfId="1996"/>
    <cellStyle name="Comma 2 4 2 2 2 3" xfId="907"/>
    <cellStyle name="Comma 2 4 2 2 2 3 2" xfId="1999"/>
    <cellStyle name="Comma 2 4 2 2 2 4" xfId="1995"/>
    <cellStyle name="Comma 2 4 2 2 3" xfId="908"/>
    <cellStyle name="Comma 2 4 2 2 3 2" xfId="909"/>
    <cellStyle name="Comma 2 4 2 2 3 2 2" xfId="2001"/>
    <cellStyle name="Comma 2 4 2 2 3 3" xfId="910"/>
    <cellStyle name="Comma 2 4 2 2 3 3 2" xfId="2002"/>
    <cellStyle name="Comma 2 4 2 2 3 4" xfId="2000"/>
    <cellStyle name="Comma 2 4 2 2 4" xfId="911"/>
    <cellStyle name="Comma 2 4 2 2 4 2" xfId="2003"/>
    <cellStyle name="Comma 2 4 2 2 5" xfId="1994"/>
    <cellStyle name="Comma 2 4 2 3" xfId="912"/>
    <cellStyle name="Comma 2 4 2 3 2" xfId="913"/>
    <cellStyle name="Comma 2 4 2 3 2 2" xfId="914"/>
    <cellStyle name="Comma 2 4 2 3 2 2 2" xfId="2006"/>
    <cellStyle name="Comma 2 4 2 3 2 3" xfId="915"/>
    <cellStyle name="Comma 2 4 2 3 2 3 2" xfId="2007"/>
    <cellStyle name="Comma 2 4 2 3 2 4" xfId="2005"/>
    <cellStyle name="Comma 2 4 2 3 3" xfId="916"/>
    <cellStyle name="Comma 2 4 2 3 3 2" xfId="2008"/>
    <cellStyle name="Comma 2 4 2 3 4" xfId="2004"/>
    <cellStyle name="Comma 2 4 2 4" xfId="917"/>
    <cellStyle name="Comma 2 4 2 4 2" xfId="918"/>
    <cellStyle name="Comma 2 4 2 4 2 2" xfId="2010"/>
    <cellStyle name="Comma 2 4 2 4 3" xfId="919"/>
    <cellStyle name="Comma 2 4 2 4 3 2" xfId="2011"/>
    <cellStyle name="Comma 2 4 2 4 4" xfId="2009"/>
    <cellStyle name="Comma 2 4 2 5" xfId="920"/>
    <cellStyle name="Comma 2 4 2 5 2" xfId="2012"/>
    <cellStyle name="Comma 2 4 2 6" xfId="1993"/>
    <cellStyle name="Comma 2 4 3" xfId="921"/>
    <cellStyle name="Comma 2 4 3 2" xfId="922"/>
    <cellStyle name="Comma 2 4 3 2 2" xfId="923"/>
    <cellStyle name="Comma 2 4 3 2 2 2" xfId="924"/>
    <cellStyle name="Comma 2 4 3 2 2 2 2" xfId="2016"/>
    <cellStyle name="Comma 2 4 3 2 2 3" xfId="925"/>
    <cellStyle name="Comma 2 4 3 2 2 3 2" xfId="2017"/>
    <cellStyle name="Comma 2 4 3 2 2 4" xfId="2015"/>
    <cellStyle name="Comma 2 4 3 2 3" xfId="926"/>
    <cellStyle name="Comma 2 4 3 2 3 2" xfId="2018"/>
    <cellStyle name="Comma 2 4 3 2 4" xfId="2014"/>
    <cellStyle name="Comma 2 4 3 3" xfId="927"/>
    <cellStyle name="Comma 2 4 3 3 2" xfId="928"/>
    <cellStyle name="Comma 2 4 3 3 2 2" xfId="2020"/>
    <cellStyle name="Comma 2 4 3 3 3" xfId="929"/>
    <cellStyle name="Comma 2 4 3 3 3 2" xfId="2021"/>
    <cellStyle name="Comma 2 4 3 3 4" xfId="2019"/>
    <cellStyle name="Comma 2 4 3 4" xfId="930"/>
    <cellStyle name="Comma 2 4 3 4 2" xfId="2022"/>
    <cellStyle name="Comma 2 4 3 5" xfId="2013"/>
    <cellStyle name="Comma 2 4 4" xfId="931"/>
    <cellStyle name="Comma 2 4 4 2" xfId="932"/>
    <cellStyle name="Comma 2 4 4 2 2" xfId="933"/>
    <cellStyle name="Comma 2 4 4 2 2 2" xfId="934"/>
    <cellStyle name="Comma 2 4 4 2 2 2 2" xfId="2026"/>
    <cellStyle name="Comma 2 4 4 2 2 3" xfId="935"/>
    <cellStyle name="Comma 2 4 4 2 2 3 2" xfId="2027"/>
    <cellStyle name="Comma 2 4 4 2 2 4" xfId="2025"/>
    <cellStyle name="Comma 2 4 4 2 3" xfId="936"/>
    <cellStyle name="Comma 2 4 4 2 3 2" xfId="2028"/>
    <cellStyle name="Comma 2 4 4 2 4" xfId="2024"/>
    <cellStyle name="Comma 2 4 4 3" xfId="937"/>
    <cellStyle name="Comma 2 4 4 3 2" xfId="938"/>
    <cellStyle name="Comma 2 4 4 3 2 2" xfId="2030"/>
    <cellStyle name="Comma 2 4 4 3 3" xfId="939"/>
    <cellStyle name="Comma 2 4 4 3 3 2" xfId="2031"/>
    <cellStyle name="Comma 2 4 4 3 4" xfId="2029"/>
    <cellStyle name="Comma 2 4 4 4" xfId="940"/>
    <cellStyle name="Comma 2 4 4 4 2" xfId="2032"/>
    <cellStyle name="Comma 2 4 4 5" xfId="2023"/>
    <cellStyle name="Comma 2 4 5" xfId="941"/>
    <cellStyle name="Comma 2 4 5 2" xfId="942"/>
    <cellStyle name="Comma 2 4 5 2 2" xfId="943"/>
    <cellStyle name="Comma 2 4 5 2 2 2" xfId="2035"/>
    <cellStyle name="Comma 2 4 5 2 3" xfId="944"/>
    <cellStyle name="Comma 2 4 5 2 3 2" xfId="2036"/>
    <cellStyle name="Comma 2 4 5 2 4" xfId="2034"/>
    <cellStyle name="Comma 2 4 5 3" xfId="945"/>
    <cellStyle name="Comma 2 4 5 3 2" xfId="2037"/>
    <cellStyle name="Comma 2 4 5 4" xfId="2033"/>
    <cellStyle name="Comma 2 4 6" xfId="946"/>
    <cellStyle name="Comma 2 4 6 2" xfId="947"/>
    <cellStyle name="Comma 2 4 6 2 2" xfId="2039"/>
    <cellStyle name="Comma 2 4 6 3" xfId="948"/>
    <cellStyle name="Comma 2 4 6 3 2" xfId="2040"/>
    <cellStyle name="Comma 2 4 6 4" xfId="2038"/>
    <cellStyle name="Comma 2 4 7" xfId="949"/>
    <cellStyle name="Comma 2 4 7 2" xfId="2041"/>
    <cellStyle name="Comma 2 4 8" xfId="1992"/>
    <cellStyle name="Comma 2 5" xfId="950"/>
    <cellStyle name="Comma 2 5 2" xfId="951"/>
    <cellStyle name="Comma 2 5 2 2" xfId="952"/>
    <cellStyle name="Comma 2 5 2 2 2" xfId="953"/>
    <cellStyle name="Comma 2 5 2 2 2 2" xfId="954"/>
    <cellStyle name="Comma 2 5 2 2 2 2 2" xfId="2046"/>
    <cellStyle name="Comma 2 5 2 2 2 3" xfId="955"/>
    <cellStyle name="Comma 2 5 2 2 2 3 2" xfId="2047"/>
    <cellStyle name="Comma 2 5 2 2 2 4" xfId="2045"/>
    <cellStyle name="Comma 2 5 2 2 3" xfId="956"/>
    <cellStyle name="Comma 2 5 2 2 3 2" xfId="2048"/>
    <cellStyle name="Comma 2 5 2 2 4" xfId="2044"/>
    <cellStyle name="Comma 2 5 2 3" xfId="957"/>
    <cellStyle name="Comma 2 5 2 3 2" xfId="958"/>
    <cellStyle name="Comma 2 5 2 3 2 2" xfId="2050"/>
    <cellStyle name="Comma 2 5 2 3 3" xfId="959"/>
    <cellStyle name="Comma 2 5 2 3 3 2" xfId="2051"/>
    <cellStyle name="Comma 2 5 2 3 4" xfId="2049"/>
    <cellStyle name="Comma 2 5 2 4" xfId="960"/>
    <cellStyle name="Comma 2 5 2 4 2" xfId="2052"/>
    <cellStyle name="Comma 2 5 2 5" xfId="2043"/>
    <cellStyle name="Comma 2 5 3" xfId="961"/>
    <cellStyle name="Comma 2 5 3 2" xfId="962"/>
    <cellStyle name="Comma 2 5 3 2 2" xfId="963"/>
    <cellStyle name="Comma 2 5 3 2 2 2" xfId="2055"/>
    <cellStyle name="Comma 2 5 3 2 3" xfId="964"/>
    <cellStyle name="Comma 2 5 3 2 3 2" xfId="2056"/>
    <cellStyle name="Comma 2 5 3 2 4" xfId="2054"/>
    <cellStyle name="Comma 2 5 3 3" xfId="965"/>
    <cellStyle name="Comma 2 5 3 3 2" xfId="2057"/>
    <cellStyle name="Comma 2 5 3 4" xfId="2053"/>
    <cellStyle name="Comma 2 5 4" xfId="966"/>
    <cellStyle name="Comma 2 5 4 2" xfId="967"/>
    <cellStyle name="Comma 2 5 4 2 2" xfId="2059"/>
    <cellStyle name="Comma 2 5 4 3" xfId="968"/>
    <cellStyle name="Comma 2 5 4 3 2" xfId="2060"/>
    <cellStyle name="Comma 2 5 4 4" xfId="2058"/>
    <cellStyle name="Comma 2 5 5" xfId="969"/>
    <cellStyle name="Comma 2 5 5 2" xfId="2061"/>
    <cellStyle name="Comma 2 5 6" xfId="2042"/>
    <cellStyle name="Comma 2 6" xfId="970"/>
    <cellStyle name="Comma 2 6 2" xfId="971"/>
    <cellStyle name="Comma 2 6 2 2" xfId="972"/>
    <cellStyle name="Comma 2 6 2 2 2" xfId="973"/>
    <cellStyle name="Comma 2 6 2 2 2 2" xfId="2065"/>
    <cellStyle name="Comma 2 6 2 2 3" xfId="974"/>
    <cellStyle name="Comma 2 6 2 2 3 2" xfId="2066"/>
    <cellStyle name="Comma 2 6 2 2 4" xfId="2064"/>
    <cellStyle name="Comma 2 6 2 3" xfId="975"/>
    <cellStyle name="Comma 2 6 2 3 2" xfId="2067"/>
    <cellStyle name="Comma 2 6 2 4" xfId="2063"/>
    <cellStyle name="Comma 2 6 3" xfId="976"/>
    <cellStyle name="Comma 2 6 3 2" xfId="977"/>
    <cellStyle name="Comma 2 6 3 2 2" xfId="2069"/>
    <cellStyle name="Comma 2 6 3 3" xfId="978"/>
    <cellStyle name="Comma 2 6 3 3 2" xfId="2070"/>
    <cellStyle name="Comma 2 6 3 4" xfId="2068"/>
    <cellStyle name="Comma 2 6 4" xfId="979"/>
    <cellStyle name="Comma 2 6 4 2" xfId="2071"/>
    <cellStyle name="Comma 2 6 5" xfId="2062"/>
    <cellStyle name="Comma 2 7" xfId="980"/>
    <cellStyle name="Comma 2 7 2" xfId="981"/>
    <cellStyle name="Comma 2 7 2 2" xfId="982"/>
    <cellStyle name="Comma 2 7 2 2 2" xfId="983"/>
    <cellStyle name="Comma 2 7 2 2 2 2" xfId="2075"/>
    <cellStyle name="Comma 2 7 2 2 3" xfId="984"/>
    <cellStyle name="Comma 2 7 2 2 3 2" xfId="2076"/>
    <cellStyle name="Comma 2 7 2 2 4" xfId="2074"/>
    <cellStyle name="Comma 2 7 2 3" xfId="985"/>
    <cellStyle name="Comma 2 7 2 3 2" xfId="2077"/>
    <cellStyle name="Comma 2 7 2 4" xfId="2073"/>
    <cellStyle name="Comma 2 7 3" xfId="986"/>
    <cellStyle name="Comma 2 7 3 2" xfId="987"/>
    <cellStyle name="Comma 2 7 3 2 2" xfId="2079"/>
    <cellStyle name="Comma 2 7 3 3" xfId="988"/>
    <cellStyle name="Comma 2 7 3 3 2" xfId="2080"/>
    <cellStyle name="Comma 2 7 3 4" xfId="2078"/>
    <cellStyle name="Comma 2 7 4" xfId="989"/>
    <cellStyle name="Comma 2 7 4 2" xfId="2081"/>
    <cellStyle name="Comma 2 7 5" xfId="2072"/>
    <cellStyle name="Comma 2 8" xfId="990"/>
    <cellStyle name="Comma 2 8 2" xfId="991"/>
    <cellStyle name="Comma 2 8 2 2" xfId="992"/>
    <cellStyle name="Comma 2 8 2 2 2" xfId="2084"/>
    <cellStyle name="Comma 2 8 2 3" xfId="993"/>
    <cellStyle name="Comma 2 8 2 3 2" xfId="2085"/>
    <cellStyle name="Comma 2 8 2 4" xfId="2083"/>
    <cellStyle name="Comma 2 8 3" xfId="994"/>
    <cellStyle name="Comma 2 8 3 2" xfId="2086"/>
    <cellStyle name="Comma 2 8 4" xfId="2082"/>
    <cellStyle name="Comma 2 9" xfId="995"/>
    <cellStyle name="Comma 2 9 2" xfId="2087"/>
    <cellStyle name="Comma 3" xfId="996"/>
    <cellStyle name="Comma 3 2" xfId="997"/>
    <cellStyle name="Comma 3 2 2" xfId="2089"/>
    <cellStyle name="Comma 3 3" xfId="2088"/>
    <cellStyle name="Comma 4" xfId="998"/>
    <cellStyle name="Comma 4 2" xfId="999"/>
    <cellStyle name="Comma 4 2 2" xfId="1000"/>
    <cellStyle name="Comma 4 2 2 2" xfId="1001"/>
    <cellStyle name="Comma 4 2 2 2 2" xfId="1002"/>
    <cellStyle name="Comma 4 2 2 2 2 2" xfId="1003"/>
    <cellStyle name="Comma 4 2 2 2 2 2 2" xfId="2095"/>
    <cellStyle name="Comma 4 2 2 2 2 3" xfId="1004"/>
    <cellStyle name="Comma 4 2 2 2 2 3 2" xfId="2096"/>
    <cellStyle name="Comma 4 2 2 2 2 4" xfId="2094"/>
    <cellStyle name="Comma 4 2 2 2 3" xfId="1005"/>
    <cellStyle name="Comma 4 2 2 2 3 2" xfId="2097"/>
    <cellStyle name="Comma 4 2 2 2 4" xfId="2093"/>
    <cellStyle name="Comma 4 2 2 3" xfId="1006"/>
    <cellStyle name="Comma 4 2 2 3 2" xfId="1007"/>
    <cellStyle name="Comma 4 2 2 3 2 2" xfId="2099"/>
    <cellStyle name="Comma 4 2 2 3 3" xfId="1008"/>
    <cellStyle name="Comma 4 2 2 3 3 2" xfId="2100"/>
    <cellStyle name="Comma 4 2 2 3 4" xfId="2098"/>
    <cellStyle name="Comma 4 2 2 4" xfId="1009"/>
    <cellStyle name="Comma 4 2 2 4 2" xfId="2101"/>
    <cellStyle name="Comma 4 2 2 5" xfId="2092"/>
    <cellStyle name="Comma 4 2 3" xfId="1010"/>
    <cellStyle name="Comma 4 2 3 2" xfId="1011"/>
    <cellStyle name="Comma 4 2 3 2 2" xfId="1012"/>
    <cellStyle name="Comma 4 2 3 2 2 2" xfId="2104"/>
    <cellStyle name="Comma 4 2 3 2 3" xfId="1013"/>
    <cellStyle name="Comma 4 2 3 2 3 2" xfId="2105"/>
    <cellStyle name="Comma 4 2 3 2 4" xfId="2103"/>
    <cellStyle name="Comma 4 2 3 3" xfId="1014"/>
    <cellStyle name="Comma 4 2 3 3 2" xfId="2106"/>
    <cellStyle name="Comma 4 2 3 4" xfId="2102"/>
    <cellStyle name="Comma 4 2 4" xfId="1015"/>
    <cellStyle name="Comma 4 2 4 2" xfId="1016"/>
    <cellStyle name="Comma 4 2 4 2 2" xfId="2108"/>
    <cellStyle name="Comma 4 2 4 3" xfId="1017"/>
    <cellStyle name="Comma 4 2 4 3 2" xfId="2109"/>
    <cellStyle name="Comma 4 2 4 4" xfId="2107"/>
    <cellStyle name="Comma 4 2 5" xfId="1018"/>
    <cellStyle name="Comma 4 2 5 2" xfId="2110"/>
    <cellStyle name="Comma 4 2 6" xfId="2091"/>
    <cellStyle name="Comma 4 3" xfId="1019"/>
    <cellStyle name="Comma 4 3 2" xfId="1020"/>
    <cellStyle name="Comma 4 3 2 2" xfId="1021"/>
    <cellStyle name="Comma 4 3 2 2 2" xfId="1022"/>
    <cellStyle name="Comma 4 3 2 2 2 2" xfId="2114"/>
    <cellStyle name="Comma 4 3 2 2 3" xfId="1023"/>
    <cellStyle name="Comma 4 3 2 2 3 2" xfId="2115"/>
    <cellStyle name="Comma 4 3 2 2 4" xfId="2113"/>
    <cellStyle name="Comma 4 3 2 3" xfId="1024"/>
    <cellStyle name="Comma 4 3 2 3 2" xfId="2116"/>
    <cellStyle name="Comma 4 3 2 4" xfId="2112"/>
    <cellStyle name="Comma 4 3 3" xfId="1025"/>
    <cellStyle name="Comma 4 3 3 2" xfId="1026"/>
    <cellStyle name="Comma 4 3 3 2 2" xfId="2118"/>
    <cellStyle name="Comma 4 3 3 3" xfId="1027"/>
    <cellStyle name="Comma 4 3 3 3 2" xfId="2119"/>
    <cellStyle name="Comma 4 3 3 4" xfId="2117"/>
    <cellStyle name="Comma 4 3 4" xfId="1028"/>
    <cellStyle name="Comma 4 3 4 2" xfId="2120"/>
    <cellStyle name="Comma 4 3 5" xfId="2111"/>
    <cellStyle name="Comma 4 4" xfId="1029"/>
    <cellStyle name="Comma 4 4 2" xfId="1030"/>
    <cellStyle name="Comma 4 4 2 2" xfId="1031"/>
    <cellStyle name="Comma 4 4 2 2 2" xfId="1032"/>
    <cellStyle name="Comma 4 4 2 2 2 2" xfId="2124"/>
    <cellStyle name="Comma 4 4 2 2 3" xfId="1033"/>
    <cellStyle name="Comma 4 4 2 2 3 2" xfId="2125"/>
    <cellStyle name="Comma 4 4 2 2 4" xfId="2123"/>
    <cellStyle name="Comma 4 4 2 3" xfId="1034"/>
    <cellStyle name="Comma 4 4 2 3 2" xfId="2126"/>
    <cellStyle name="Comma 4 4 2 4" xfId="2122"/>
    <cellStyle name="Comma 4 4 3" xfId="1035"/>
    <cellStyle name="Comma 4 4 3 2" xfId="1036"/>
    <cellStyle name="Comma 4 4 3 2 2" xfId="2128"/>
    <cellStyle name="Comma 4 4 3 3" xfId="1037"/>
    <cellStyle name="Comma 4 4 3 3 2" xfId="2129"/>
    <cellStyle name="Comma 4 4 3 4" xfId="2127"/>
    <cellStyle name="Comma 4 4 4" xfId="1038"/>
    <cellStyle name="Comma 4 4 4 2" xfId="2130"/>
    <cellStyle name="Comma 4 4 5" xfId="2121"/>
    <cellStyle name="Comma 4 5" xfId="1039"/>
    <cellStyle name="Comma 4 5 2" xfId="1040"/>
    <cellStyle name="Comma 4 5 2 2" xfId="1041"/>
    <cellStyle name="Comma 4 5 2 2 2" xfId="2133"/>
    <cellStyle name="Comma 4 5 2 3" xfId="1042"/>
    <cellStyle name="Comma 4 5 2 3 2" xfId="2134"/>
    <cellStyle name="Comma 4 5 2 4" xfId="2132"/>
    <cellStyle name="Comma 4 5 3" xfId="1043"/>
    <cellStyle name="Comma 4 5 3 2" xfId="2135"/>
    <cellStyle name="Comma 4 5 4" xfId="2131"/>
    <cellStyle name="Comma 4 6" xfId="1044"/>
    <cellStyle name="Comma 4 6 2" xfId="1045"/>
    <cellStyle name="Comma 4 6 2 2" xfId="2137"/>
    <cellStyle name="Comma 4 6 3" xfId="1046"/>
    <cellStyle name="Comma 4 6 3 2" xfId="2138"/>
    <cellStyle name="Comma 4 6 4" xfId="2136"/>
    <cellStyle name="Comma 4 7" xfId="1047"/>
    <cellStyle name="Comma 4 7 2" xfId="2139"/>
    <cellStyle name="Comma 4 8" xfId="1048"/>
    <cellStyle name="Comma 4 8 2" xfId="2140"/>
    <cellStyle name="Comma 4 9" xfId="2090"/>
    <cellStyle name="Comma 5" xfId="1049"/>
    <cellStyle name="Comma 5 2" xfId="2141"/>
    <cellStyle name="Comma 6" xfId="1050"/>
    <cellStyle name="Comma 6 2" xfId="2142"/>
    <cellStyle name="Currency 10" xfId="9"/>
    <cellStyle name="Currency 2" xfId="1051"/>
    <cellStyle name="Currency 2 2" xfId="1052"/>
    <cellStyle name="Currency 2 3" xfId="1053"/>
    <cellStyle name="Currency 2 3 2" xfId="2144"/>
    <cellStyle name="Currency 2 4" xfId="2143"/>
    <cellStyle name="Currency 3" xfId="1054"/>
    <cellStyle name="Currency 4" xfId="1055"/>
    <cellStyle name="Currency 4 2" xfId="1056"/>
    <cellStyle name="Currency 4 2 2" xfId="1057"/>
    <cellStyle name="Currency 4 2 2 2" xfId="1058"/>
    <cellStyle name="Currency 4 2 2 2 2" xfId="1059"/>
    <cellStyle name="Currency 4 2 2 2 2 2" xfId="1060"/>
    <cellStyle name="Currency 4 2 2 2 2 3" xfId="1061"/>
    <cellStyle name="Currency 4 2 2 2 3" xfId="1062"/>
    <cellStyle name="Currency 4 2 2 3" xfId="1063"/>
    <cellStyle name="Currency 4 2 2 3 2" xfId="1064"/>
    <cellStyle name="Currency 4 2 2 3 3" xfId="1065"/>
    <cellStyle name="Currency 4 2 2 4" xfId="1066"/>
    <cellStyle name="Currency 4 2 3" xfId="1067"/>
    <cellStyle name="Currency 4 2 3 2" xfId="1068"/>
    <cellStyle name="Currency 4 2 3 2 2" xfId="1069"/>
    <cellStyle name="Currency 4 2 3 2 3" xfId="1070"/>
    <cellStyle name="Currency 4 2 3 3" xfId="1071"/>
    <cellStyle name="Currency 4 2 4" xfId="1072"/>
    <cellStyle name="Currency 4 2 4 2" xfId="1073"/>
    <cellStyle name="Currency 4 2 4 3" xfId="1074"/>
    <cellStyle name="Currency 4 2 5" xfId="1075"/>
    <cellStyle name="Currency 4 3" xfId="1076"/>
    <cellStyle name="Currency 4 3 2" xfId="1077"/>
    <cellStyle name="Currency 4 3 2 2" xfId="1078"/>
    <cellStyle name="Currency 4 3 2 2 2" xfId="1079"/>
    <cellStyle name="Currency 4 3 2 2 3" xfId="1080"/>
    <cellStyle name="Currency 4 3 2 3" xfId="1081"/>
    <cellStyle name="Currency 4 3 3" xfId="1082"/>
    <cellStyle name="Currency 4 3 3 2" xfId="1083"/>
    <cellStyle name="Currency 4 3 3 3" xfId="1084"/>
    <cellStyle name="Currency 4 3 4" xfId="1085"/>
    <cellStyle name="Currency 4 4" xfId="1086"/>
    <cellStyle name="Currency 4 4 2" xfId="1087"/>
    <cellStyle name="Currency 4 4 2 2" xfId="1088"/>
    <cellStyle name="Currency 4 4 2 2 2" xfId="1089"/>
    <cellStyle name="Currency 4 4 2 2 3" xfId="1090"/>
    <cellStyle name="Currency 4 4 2 3" xfId="1091"/>
    <cellStyle name="Currency 4 4 3" xfId="1092"/>
    <cellStyle name="Currency 4 4 3 2" xfId="1093"/>
    <cellStyle name="Currency 4 4 3 3" xfId="1094"/>
    <cellStyle name="Currency 4 4 4" xfId="1095"/>
    <cellStyle name="Currency 4 5" xfId="1096"/>
    <cellStyle name="Currency 4 5 2" xfId="1097"/>
    <cellStyle name="Currency 4 5 2 2" xfId="1098"/>
    <cellStyle name="Currency 4 5 2 3" xfId="1099"/>
    <cellStyle name="Currency 4 5 3" xfId="1100"/>
    <cellStyle name="Currency 5" xfId="1101"/>
    <cellStyle name="Currency 6" xfId="1102"/>
    <cellStyle name="Currency 6 2" xfId="1103"/>
    <cellStyle name="Currency 6 2 2" xfId="1104"/>
    <cellStyle name="Currency 6 2 3" xfId="1105"/>
    <cellStyle name="Currency 6 3" xfId="1106"/>
    <cellStyle name="Currency 7" xfId="1107"/>
    <cellStyle name="Currency 7 2" xfId="1108"/>
    <cellStyle name="Currency 8" xfId="1109"/>
    <cellStyle name="Currency 9" xfId="1110"/>
    <cellStyle name="Dark Title" xfId="1111"/>
    <cellStyle name="Data" xfId="1112"/>
    <cellStyle name="Data 2" xfId="1113"/>
    <cellStyle name="Datum" xfId="1114"/>
    <cellStyle name="Datumgroß" xfId="1115"/>
    <cellStyle name="Datumklein" xfId="1116"/>
    <cellStyle name="Dezimal [0]_35ERI8T2gbIEMixb4v26icuOo" xfId="1117"/>
    <cellStyle name="Dezimal_35ERI8T2gbIEMixb4v26icuOo" xfId="1118"/>
    <cellStyle name="Dezimalgroß" xfId="1119"/>
    <cellStyle name="Dezimalklein" xfId="1120"/>
    <cellStyle name="Dålig" xfId="4" builtinId="27"/>
    <cellStyle name="Euro" xfId="14"/>
    <cellStyle name="Euro 2" xfId="1121"/>
    <cellStyle name="Euro 2 2" xfId="1122"/>
    <cellStyle name="Euro 2 2 2" xfId="1123"/>
    <cellStyle name="Euro 2 3" xfId="1124"/>
    <cellStyle name="Euro 3" xfId="1125"/>
    <cellStyle name="Euro 3 2" xfId="1126"/>
    <cellStyle name="Euro 4" xfId="1127"/>
    <cellStyle name="Explanatory Text 2" xfId="1128"/>
    <cellStyle name="Explanatory Text 3" xfId="1129"/>
    <cellStyle name="Explanatory Text 4" xfId="1130"/>
    <cellStyle name="Fest" xfId="1131"/>
    <cellStyle name="Gesamt" xfId="1132"/>
    <cellStyle name="Good 2" xfId="1133"/>
    <cellStyle name="Good 3" xfId="1134"/>
    <cellStyle name="Good 4" xfId="1135"/>
    <cellStyle name="Good 5" xfId="1136"/>
    <cellStyle name="Good 5 2" xfId="1137"/>
    <cellStyle name="Grey" xfId="1138"/>
    <cellStyle name="Header1" xfId="1139"/>
    <cellStyle name="Header1 2" xfId="1140"/>
    <cellStyle name="Header2" xfId="1141"/>
    <cellStyle name="Header2 2" xfId="1142"/>
    <cellStyle name="Heading 1 2" xfId="1143"/>
    <cellStyle name="Heading 1 3" xfId="1144"/>
    <cellStyle name="Heading 1 4" xfId="1145"/>
    <cellStyle name="Heading 2 2" xfId="1146"/>
    <cellStyle name="Heading 2 3" xfId="1147"/>
    <cellStyle name="Heading 2 4" xfId="1148"/>
    <cellStyle name="Heading 3 2" xfId="1149"/>
    <cellStyle name="Heading 3 3" xfId="1150"/>
    <cellStyle name="Heading 3 4" xfId="1151"/>
    <cellStyle name="Heading 4 2" xfId="1152"/>
    <cellStyle name="Heading 4 3" xfId="1153"/>
    <cellStyle name="Heading 4 4" xfId="1154"/>
    <cellStyle name="Hyperlink 2" xfId="1155"/>
    <cellStyle name="Hyperlänk" xfId="1838" builtinId="8"/>
    <cellStyle name="Hyperlänk 2" xfId="1156"/>
    <cellStyle name="Input [yellow]" xfId="1157"/>
    <cellStyle name="Input [yellow] 2" xfId="2145"/>
    <cellStyle name="Input 10" xfId="1158"/>
    <cellStyle name="Input 11" xfId="1159"/>
    <cellStyle name="Input 12" xfId="1160"/>
    <cellStyle name="Input 13" xfId="1161"/>
    <cellStyle name="Input 14" xfId="1162"/>
    <cellStyle name="Input 2" xfId="1163"/>
    <cellStyle name="Input 3" xfId="1164"/>
    <cellStyle name="Input 4" xfId="1165"/>
    <cellStyle name="Input 5" xfId="1166"/>
    <cellStyle name="Input 6" xfId="1167"/>
    <cellStyle name="Input 7" xfId="1168"/>
    <cellStyle name="Input 8" xfId="1169"/>
    <cellStyle name="Input 9" xfId="1170"/>
    <cellStyle name="Komma 2" xfId="1171"/>
    <cellStyle name="Komma 2 2" xfId="2146"/>
    <cellStyle name="Komma 3" xfId="1172"/>
    <cellStyle name="Komma 3 2" xfId="2147"/>
    <cellStyle name="Komma0" xfId="1173"/>
    <cellStyle name="LID HEADER" xfId="1174"/>
    <cellStyle name="LID HEADER 2" xfId="2148"/>
    <cellStyle name="Linked Cell 2" xfId="1175"/>
    <cellStyle name="Linked Cell 3" xfId="1176"/>
    <cellStyle name="Linked Cell 4" xfId="1177"/>
    <cellStyle name="Market Segment" xfId="1178"/>
    <cellStyle name="Market Segment 2" xfId="1179"/>
    <cellStyle name="Menu Bar" xfId="1180"/>
    <cellStyle name="Menu Bar 2" xfId="1181"/>
    <cellStyle name="Milliers [0]_2003_Projects_Action_Plan" xfId="1182"/>
    <cellStyle name="Milliers_2003_Projects_Action_Plan" xfId="1183"/>
    <cellStyle name="Moeda [0]_laroux" xfId="1184"/>
    <cellStyle name="Moeda_laroux" xfId="1185"/>
    <cellStyle name="Moneda_Sheet1" xfId="1186"/>
    <cellStyle name="Monétaire [0]_2003_Projects_Action_Plan" xfId="1187"/>
    <cellStyle name="Monétaire_2003_Projects_Action_Plan" xfId="1188"/>
    <cellStyle name="Neutral" xfId="5" builtinId="28"/>
    <cellStyle name="Neutral 2" xfId="1189"/>
    <cellStyle name="Neutral 3" xfId="1190"/>
    <cellStyle name="Neutral 3 2" xfId="1191"/>
    <cellStyle name="Neutral 4" xfId="1192"/>
    <cellStyle name="Neutral 5" xfId="1193"/>
    <cellStyle name="Neutral 5 2" xfId="1194"/>
    <cellStyle name="Normal" xfId="0" builtinId="0"/>
    <cellStyle name="Normal - Style1" xfId="1195"/>
    <cellStyle name="Normal 10" xfId="7"/>
    <cellStyle name="Normal 10 2" xfId="1196"/>
    <cellStyle name="Normal 11" xfId="1197"/>
    <cellStyle name="Normal 12" xfId="1198"/>
    <cellStyle name="Normal 12 2" xfId="1199"/>
    <cellStyle name="Normal 13" xfId="1200"/>
    <cellStyle name="Normal 13 2" xfId="1201"/>
    <cellStyle name="Normal 14" xfId="1202"/>
    <cellStyle name="Normal 14 2" xfId="1203"/>
    <cellStyle name="Normal 15" xfId="1204"/>
    <cellStyle name="Normal 15 2" xfId="1205"/>
    <cellStyle name="Normal 16" xfId="1206"/>
    <cellStyle name="Normal 17" xfId="1207"/>
    <cellStyle name="Normal 18" xfId="1208"/>
    <cellStyle name="Normal 19" xfId="1209"/>
    <cellStyle name="Normal 2" xfId="1210"/>
    <cellStyle name="Normal 2 10" xfId="1211"/>
    <cellStyle name="Normal 2 2" xfId="1212"/>
    <cellStyle name="Normal 2 2 10" xfId="1213"/>
    <cellStyle name="Normal 2 2 11" xfId="1214"/>
    <cellStyle name="Normal 2 2 2" xfId="1215"/>
    <cellStyle name="Normal 2 2 2 2" xfId="1216"/>
    <cellStyle name="Normal 2 2 2 2 2" xfId="1217"/>
    <cellStyle name="Normal 2 2 2 2 2 2" xfId="1218"/>
    <cellStyle name="Normal 2 2 2 2 2 2 2" xfId="1219"/>
    <cellStyle name="Normal 2 2 2 2 2 2 3" xfId="1220"/>
    <cellStyle name="Normal 2 2 2 2 2 2 4" xfId="1221"/>
    <cellStyle name="Normal 2 2 2 2 2 3" xfId="1222"/>
    <cellStyle name="Normal 2 2 2 2 2 4" xfId="1223"/>
    <cellStyle name="Normal 2 2 2 2 2 5" xfId="1224"/>
    <cellStyle name="Normal 2 2 2 2 3" xfId="1225"/>
    <cellStyle name="Normal 2 2 2 2 3 2" xfId="1226"/>
    <cellStyle name="Normal 2 2 2 2 3 3" xfId="1227"/>
    <cellStyle name="Normal 2 2 2 2 3 4" xfId="1228"/>
    <cellStyle name="Normal 2 2 2 2 4" xfId="1229"/>
    <cellStyle name="Normal 2 2 2 2 5" xfId="1230"/>
    <cellStyle name="Normal 2 2 2 2 6" xfId="1231"/>
    <cellStyle name="Normal 2 2 2 3" xfId="1232"/>
    <cellStyle name="Normal 2 2 2 3 2" xfId="1233"/>
    <cellStyle name="Normal 2 2 2 3 2 2" xfId="1234"/>
    <cellStyle name="Normal 2 2 2 3 2 3" xfId="1235"/>
    <cellStyle name="Normal 2 2 2 3 2 4" xfId="1236"/>
    <cellStyle name="Normal 2 2 2 3 3" xfId="1237"/>
    <cellStyle name="Normal 2 2 2 3 4" xfId="1238"/>
    <cellStyle name="Normal 2 2 2 3 5" xfId="1239"/>
    <cellStyle name="Normal 2 2 2 4" xfId="1240"/>
    <cellStyle name="Normal 2 2 2 4 2" xfId="1241"/>
    <cellStyle name="Normal 2 2 2 4 2 2" xfId="1242"/>
    <cellStyle name="Normal 2 2 2 4 2 3" xfId="1243"/>
    <cellStyle name="Normal 2 2 2 4 2 4" xfId="1244"/>
    <cellStyle name="Normal 2 2 2 4 3" xfId="1245"/>
    <cellStyle name="Normal 2 2 2 4 4" xfId="1246"/>
    <cellStyle name="Normal 2 2 2 4 5" xfId="1247"/>
    <cellStyle name="Normal 2 2 2 5" xfId="1248"/>
    <cellStyle name="Normal 2 2 2 5 2" xfId="1249"/>
    <cellStyle name="Normal 2 2 2 5 3" xfId="1250"/>
    <cellStyle name="Normal 2 2 2 5 4" xfId="1251"/>
    <cellStyle name="Normal 2 2 2 6" xfId="1252"/>
    <cellStyle name="Normal 2 2 2 7" xfId="1253"/>
    <cellStyle name="Normal 2 2 2 8" xfId="1254"/>
    <cellStyle name="Normal 2 2 3" xfId="1255"/>
    <cellStyle name="Normal 2 2 3 2" xfId="1256"/>
    <cellStyle name="Normal 2 2 3 2 2" xfId="1257"/>
    <cellStyle name="Normal 2 2 3 2 2 2" xfId="1258"/>
    <cellStyle name="Normal 2 2 3 2 2 3" xfId="1259"/>
    <cellStyle name="Normal 2 2 3 2 2 4" xfId="1260"/>
    <cellStyle name="Normal 2 2 3 2 3" xfId="1261"/>
    <cellStyle name="Normal 2 2 3 2 4" xfId="1262"/>
    <cellStyle name="Normal 2 2 3 2 5" xfId="1263"/>
    <cellStyle name="Normal 2 2 3 3" xfId="1264"/>
    <cellStyle name="Normal 2 2 3 3 2" xfId="1265"/>
    <cellStyle name="Normal 2 2 3 3 3" xfId="1266"/>
    <cellStyle name="Normal 2 2 3 3 4" xfId="1267"/>
    <cellStyle name="Normal 2 2 3 4" xfId="1268"/>
    <cellStyle name="Normal 2 2 3 5" xfId="1269"/>
    <cellStyle name="Normal 2 2 3 6" xfId="1270"/>
    <cellStyle name="Normal 2 2 4" xfId="1271"/>
    <cellStyle name="Normal 2 2 4 2" xfId="1272"/>
    <cellStyle name="Normal 2 2 4 2 2" xfId="1273"/>
    <cellStyle name="Normal 2 2 4 2 3" xfId="1274"/>
    <cellStyle name="Normal 2 2 4 2 4" xfId="1275"/>
    <cellStyle name="Normal 2 2 4 3" xfId="1276"/>
    <cellStyle name="Normal 2 2 4 4" xfId="1277"/>
    <cellStyle name="Normal 2 2 4 5" xfId="1278"/>
    <cellStyle name="Normal 2 2 5" xfId="1279"/>
    <cellStyle name="Normal 2 2 5 2" xfId="1280"/>
    <cellStyle name="Normal 2 2 5 2 2" xfId="1281"/>
    <cellStyle name="Normal 2 2 5 2 3" xfId="1282"/>
    <cellStyle name="Normal 2 2 5 2 4" xfId="1283"/>
    <cellStyle name="Normal 2 2 5 3" xfId="1284"/>
    <cellStyle name="Normal 2 2 5 4" xfId="1285"/>
    <cellStyle name="Normal 2 2 5 5" xfId="1286"/>
    <cellStyle name="Normal 2 2 6" xfId="1287"/>
    <cellStyle name="Normal 2 2 6 2" xfId="1288"/>
    <cellStyle name="Normal 2 2 6 3" xfId="1289"/>
    <cellStyle name="Normal 2 2 6 4" xfId="1290"/>
    <cellStyle name="Normal 2 2 7" xfId="1291"/>
    <cellStyle name="Normal 2 2 7 2" xfId="1292"/>
    <cellStyle name="Normal 2 2 7 3" xfId="1293"/>
    <cellStyle name="Normal 2 2 7 4" xfId="1294"/>
    <cellStyle name="Normal 2 2 8" xfId="6"/>
    <cellStyle name="Normal 2 2 8 2" xfId="13"/>
    <cellStyle name="Normal 2 2 9" xfId="1295"/>
    <cellStyle name="Normal 2 3" xfId="8"/>
    <cellStyle name="Normal 2 4" xfId="1296"/>
    <cellStyle name="Normal 2 4 2" xfId="1297"/>
    <cellStyle name="Normal 2 4 2 2" xfId="1298"/>
    <cellStyle name="Normal 2 4 2 2 2" xfId="1299"/>
    <cellStyle name="Normal 2 4 2 2 2 2" xfId="1300"/>
    <cellStyle name="Normal 2 4 2 2 2 3" xfId="1301"/>
    <cellStyle name="Normal 2 4 2 2 2 4" xfId="1302"/>
    <cellStyle name="Normal 2 4 2 2 3" xfId="1303"/>
    <cellStyle name="Normal 2 4 2 2 4" xfId="1304"/>
    <cellStyle name="Normal 2 4 2 2 5" xfId="1305"/>
    <cellStyle name="Normal 2 4 2 3" xfId="1306"/>
    <cellStyle name="Normal 2 4 2 3 2" xfId="1307"/>
    <cellStyle name="Normal 2 4 2 3 3" xfId="1308"/>
    <cellStyle name="Normal 2 4 2 3 4" xfId="1309"/>
    <cellStyle name="Normal 2 4 2 4" xfId="1310"/>
    <cellStyle name="Normal 2 4 2 5" xfId="1311"/>
    <cellStyle name="Normal 2 4 2 6" xfId="1312"/>
    <cellStyle name="Normal 2 4 3" xfId="1313"/>
    <cellStyle name="Normal 2 4 3 2" xfId="1314"/>
    <cellStyle name="Normal 2 4 3 2 2" xfId="1315"/>
    <cellStyle name="Normal 2 4 3 2 3" xfId="1316"/>
    <cellStyle name="Normal 2 4 3 2 4" xfId="1317"/>
    <cellStyle name="Normal 2 4 3 3" xfId="1318"/>
    <cellStyle name="Normal 2 4 3 4" xfId="1319"/>
    <cellStyle name="Normal 2 4 3 5" xfId="1320"/>
    <cellStyle name="Normal 2 4 4" xfId="1321"/>
    <cellStyle name="Normal 2 4 4 2" xfId="1322"/>
    <cellStyle name="Normal 2 4 4 2 2" xfId="1323"/>
    <cellStyle name="Normal 2 4 4 2 3" xfId="1324"/>
    <cellStyle name="Normal 2 4 4 2 4" xfId="1325"/>
    <cellStyle name="Normal 2 4 4 3" xfId="1326"/>
    <cellStyle name="Normal 2 4 4 4" xfId="1327"/>
    <cellStyle name="Normal 2 4 4 5" xfId="1328"/>
    <cellStyle name="Normal 2 4 5" xfId="1329"/>
    <cellStyle name="Normal 2 4 5 2" xfId="1330"/>
    <cellStyle name="Normal 2 4 5 3" xfId="1331"/>
    <cellStyle name="Normal 2 4 5 4" xfId="1332"/>
    <cellStyle name="Normal 2 4 6" xfId="1333"/>
    <cellStyle name="Normal 2 4 7" xfId="1334"/>
    <cellStyle name="Normal 2 4 8" xfId="1335"/>
    <cellStyle name="Normal 2 5" xfId="1336"/>
    <cellStyle name="Normal 2 5 2" xfId="1337"/>
    <cellStyle name="Normal 2 5 2 2" xfId="1338"/>
    <cellStyle name="Normal 2 5 2 2 2" xfId="1339"/>
    <cellStyle name="Normal 2 5 2 2 2 2" xfId="1340"/>
    <cellStyle name="Normal 2 5 2 2 2 3" xfId="1341"/>
    <cellStyle name="Normal 2 5 2 2 2 4" xfId="1342"/>
    <cellStyle name="Normal 2 5 2 2 3" xfId="1343"/>
    <cellStyle name="Normal 2 5 2 2 4" xfId="1344"/>
    <cellStyle name="Normal 2 5 2 2 5" xfId="1345"/>
    <cellStyle name="Normal 2 5 2 3" xfId="1346"/>
    <cellStyle name="Normal 2 5 2 3 2" xfId="1347"/>
    <cellStyle name="Normal 2 5 2 3 3" xfId="1348"/>
    <cellStyle name="Normal 2 5 2 3 4" xfId="1349"/>
    <cellStyle name="Normal 2 5 2 4" xfId="1350"/>
    <cellStyle name="Normal 2 5 2 5" xfId="1351"/>
    <cellStyle name="Normal 2 5 2 6" xfId="1352"/>
    <cellStyle name="Normal 2 5 3" xfId="1353"/>
    <cellStyle name="Normal 2 5 3 2" xfId="1354"/>
    <cellStyle name="Normal 2 5 3 2 2" xfId="1355"/>
    <cellStyle name="Normal 2 5 3 2 3" xfId="1356"/>
    <cellStyle name="Normal 2 5 3 2 4" xfId="1357"/>
    <cellStyle name="Normal 2 5 3 3" xfId="1358"/>
    <cellStyle name="Normal 2 5 3 4" xfId="1359"/>
    <cellStyle name="Normal 2 5 3 5" xfId="1360"/>
    <cellStyle name="Normal 2 5 4" xfId="1361"/>
    <cellStyle name="Normal 2 5 4 2" xfId="1362"/>
    <cellStyle name="Normal 2 5 4 2 2" xfId="1363"/>
    <cellStyle name="Normal 2 5 4 2 3" xfId="1364"/>
    <cellStyle name="Normal 2 5 4 2 4" xfId="1365"/>
    <cellStyle name="Normal 2 5 4 3" xfId="1366"/>
    <cellStyle name="Normal 2 5 4 4" xfId="1367"/>
    <cellStyle name="Normal 2 5 4 5" xfId="1368"/>
    <cellStyle name="Normal 2 5 5" xfId="1369"/>
    <cellStyle name="Normal 2 5 5 2" xfId="1370"/>
    <cellStyle name="Normal 2 5 5 3" xfId="1371"/>
    <cellStyle name="Normal 2 5 5 4" xfId="1372"/>
    <cellStyle name="Normal 2 5 6" xfId="1373"/>
    <cellStyle name="Normal 2 5 7" xfId="1374"/>
    <cellStyle name="Normal 2 5 8" xfId="1375"/>
    <cellStyle name="Normal 2 6" xfId="1376"/>
    <cellStyle name="Normal 2 6 2" xfId="1377"/>
    <cellStyle name="Normal 2 6 2 2" xfId="1378"/>
    <cellStyle name="Normal 2 6 2 2 2" xfId="1379"/>
    <cellStyle name="Normal 2 6 2 2 3" xfId="1380"/>
    <cellStyle name="Normal 2 6 2 2 4" xfId="1381"/>
    <cellStyle name="Normal 2 6 2 3" xfId="1382"/>
    <cellStyle name="Normal 2 6 2 4" xfId="1383"/>
    <cellStyle name="Normal 2 6 2 5" xfId="1384"/>
    <cellStyle name="Normal 2 6 3" xfId="1385"/>
    <cellStyle name="Normal 2 6 3 2" xfId="1386"/>
    <cellStyle name="Normal 2 6 3 3" xfId="1387"/>
    <cellStyle name="Normal 2 6 3 4" xfId="1388"/>
    <cellStyle name="Normal 2 6 4" xfId="1389"/>
    <cellStyle name="Normal 2 6 5" xfId="1390"/>
    <cellStyle name="Normal 2 6 6" xfId="1391"/>
    <cellStyle name="Normal 2 7" xfId="1392"/>
    <cellStyle name="Normal 2 7 2" xfId="1393"/>
    <cellStyle name="Normal 2 8" xfId="1394"/>
    <cellStyle name="Normal 2 9" xfId="1395"/>
    <cellStyle name="Normal 20" xfId="1396"/>
    <cellStyle name="Normal 21" xfId="1397"/>
    <cellStyle name="Normal 22" xfId="1398"/>
    <cellStyle name="Normal 23" xfId="1399"/>
    <cellStyle name="Normal 24" xfId="1400"/>
    <cellStyle name="Normal 25" xfId="1401"/>
    <cellStyle name="Normal 26" xfId="1402"/>
    <cellStyle name="Normal 27" xfId="1403"/>
    <cellStyle name="Normal 28" xfId="1404"/>
    <cellStyle name="Normal 29" xfId="1405"/>
    <cellStyle name="Normal 3" xfId="1406"/>
    <cellStyle name="Normal 3 10" xfId="16"/>
    <cellStyle name="Normal 3 2" xfId="1407"/>
    <cellStyle name="Normal 3 3" xfId="1408"/>
    <cellStyle name="Normal 3 3 2" xfId="1409"/>
    <cellStyle name="Normal 3 3 2 2" xfId="1410"/>
    <cellStyle name="Normal 3 3 2 3" xfId="1411"/>
    <cellStyle name="Normal 3 3 2 4" xfId="1412"/>
    <cellStyle name="Normal 3 3 3" xfId="1413"/>
    <cellStyle name="Normal 3 3 4" xfId="1414"/>
    <cellStyle name="Normal 3 3 5" xfId="1415"/>
    <cellStyle name="Normal 3 4" xfId="1416"/>
    <cellStyle name="Normal 3 4 2" xfId="1417"/>
    <cellStyle name="Normal 3 4 2 2" xfId="1418"/>
    <cellStyle name="Normal 3 4 2 3" xfId="1419"/>
    <cellStyle name="Normal 3 4 2 4" xfId="1420"/>
    <cellStyle name="Normal 3 4 3" xfId="1421"/>
    <cellStyle name="Normal 3 4 4" xfId="1422"/>
    <cellStyle name="Normal 3 4 5" xfId="1423"/>
    <cellStyle name="Normal 3 5" xfId="1424"/>
    <cellStyle name="Normal 3 5 2" xfId="1425"/>
    <cellStyle name="Normal 3 5 3" xfId="1426"/>
    <cellStyle name="Normal 3 5 4" xfId="1427"/>
    <cellStyle name="Normal 3 6" xfId="1428"/>
    <cellStyle name="Normal 3 6 2" xfId="1429"/>
    <cellStyle name="Normal 3 6 3" xfId="1430"/>
    <cellStyle name="Normal 3 6 4" xfId="1431"/>
    <cellStyle name="Normal 3 7" xfId="1432"/>
    <cellStyle name="Normal 3 8" xfId="1433"/>
    <cellStyle name="Normal 3 9" xfId="1434"/>
    <cellStyle name="Normal 30" xfId="1435"/>
    <cellStyle name="Normal 31" xfId="1436"/>
    <cellStyle name="Normal 32" xfId="1437"/>
    <cellStyle name="Normal 33" xfId="1438"/>
    <cellStyle name="Normal 34" xfId="1439"/>
    <cellStyle name="Normal 35" xfId="1440"/>
    <cellStyle name="Normal 36" xfId="1441"/>
    <cellStyle name="Normal 37" xfId="1442"/>
    <cellStyle name="Normal 38" xfId="1443"/>
    <cellStyle name="Normal 39" xfId="1444"/>
    <cellStyle name="Normal 4" xfId="1445"/>
    <cellStyle name="Normal 4 10" xfId="1446"/>
    <cellStyle name="Normal 4 11" xfId="1447"/>
    <cellStyle name="Normal 4 2" xfId="1448"/>
    <cellStyle name="Normal 4 3" xfId="1449"/>
    <cellStyle name="Normal 4 3 2" xfId="1450"/>
    <cellStyle name="Normal 4 4" xfId="1451"/>
    <cellStyle name="Normal 4 5" xfId="1452"/>
    <cellStyle name="Normal 4 5 2" xfId="1453"/>
    <cellStyle name="Normal 4 5 2 2" xfId="1454"/>
    <cellStyle name="Normal 4 5 2 2 2" xfId="1455"/>
    <cellStyle name="Normal 4 5 2 2 3" xfId="1456"/>
    <cellStyle name="Normal 4 5 2 2 4" xfId="1457"/>
    <cellStyle name="Normal 4 5 2 3" xfId="1458"/>
    <cellStyle name="Normal 4 5 2 4" xfId="1459"/>
    <cellStyle name="Normal 4 5 2 5" xfId="1460"/>
    <cellStyle name="Normal 4 5 3" xfId="1461"/>
    <cellStyle name="Normal 4 5 3 2" xfId="1462"/>
    <cellStyle name="Normal 4 5 3 3" xfId="1463"/>
    <cellStyle name="Normal 4 5 3 4" xfId="1464"/>
    <cellStyle name="Normal 4 5 4" xfId="1465"/>
    <cellStyle name="Normal 4 5 5" xfId="1466"/>
    <cellStyle name="Normal 4 5 6" xfId="1467"/>
    <cellStyle name="Normal 4 6" xfId="1468"/>
    <cellStyle name="Normal 4 6 2" xfId="1469"/>
    <cellStyle name="Normal 4 6 3" xfId="1470"/>
    <cellStyle name="Normal 4 6 4" xfId="1471"/>
    <cellStyle name="Normal 4 7" xfId="1472"/>
    <cellStyle name="Normal 4 7 2" xfId="1473"/>
    <cellStyle name="Normal 4 8" xfId="1474"/>
    <cellStyle name="Normal 4 9" xfId="1475"/>
    <cellStyle name="Normal 40" xfId="1476"/>
    <cellStyle name="Normal 41" xfId="1477"/>
    <cellStyle name="Normal 42" xfId="1478"/>
    <cellStyle name="Normal 43" xfId="1479"/>
    <cellStyle name="Normal 44" xfId="1480"/>
    <cellStyle name="Normal 45" xfId="1481"/>
    <cellStyle name="Normal 46" xfId="1482"/>
    <cellStyle name="Normal 47" xfId="1483"/>
    <cellStyle name="Normal 48" xfId="1484"/>
    <cellStyle name="Normal 49" xfId="1485"/>
    <cellStyle name="Normal 5" xfId="1486"/>
    <cellStyle name="Normal 5 2" xfId="1487"/>
    <cellStyle name="Normal 5 2 2" xfId="1488"/>
    <cellStyle name="Normal 5 2 2 2" xfId="1489"/>
    <cellStyle name="Normal 5 2 2 2 2" xfId="1490"/>
    <cellStyle name="Normal 5 2 2 2 3" xfId="1491"/>
    <cellStyle name="Normal 5 2 2 2 4" xfId="1492"/>
    <cellStyle name="Normal 5 2 2 3" xfId="1493"/>
    <cellStyle name="Normal 5 2 2 4" xfId="1494"/>
    <cellStyle name="Normal 5 2 2 5" xfId="1495"/>
    <cellStyle name="Normal 5 2 3" xfId="1496"/>
    <cellStyle name="Normal 5 2 3 2" xfId="1497"/>
    <cellStyle name="Normal 5 2 3 2 2" xfId="1498"/>
    <cellStyle name="Normal 5 2 3 2 3" xfId="1499"/>
    <cellStyle name="Normal 5 2 3 2 4" xfId="1500"/>
    <cellStyle name="Normal 5 2 3 3" xfId="1501"/>
    <cellStyle name="Normal 5 2 3 4" xfId="1502"/>
    <cellStyle name="Normal 5 2 3 5" xfId="1503"/>
    <cellStyle name="Normal 5 2 4" xfId="1504"/>
    <cellStyle name="Normal 5 2 4 2" xfId="1505"/>
    <cellStyle name="Normal 5 2 4 3" xfId="1506"/>
    <cellStyle name="Normal 5 2 4 4" xfId="1507"/>
    <cellStyle name="Normal 5 2 5" xfId="1508"/>
    <cellStyle name="Normal 5 2 6" xfId="1509"/>
    <cellStyle name="Normal 5 2 7" xfId="1510"/>
    <cellStyle name="Normal 5 3" xfId="1511"/>
    <cellStyle name="Normal 5 3 2" xfId="1512"/>
    <cellStyle name="Normal 5 3 2 2" xfId="1513"/>
    <cellStyle name="Normal 5 3 2 2 2" xfId="1514"/>
    <cellStyle name="Normal 5 3 2 2 3" xfId="1515"/>
    <cellStyle name="Normal 5 3 2 2 4" xfId="1516"/>
    <cellStyle name="Normal 5 3 2 3" xfId="1517"/>
    <cellStyle name="Normal 5 3 2 4" xfId="1518"/>
    <cellStyle name="Normal 5 3 2 5" xfId="1519"/>
    <cellStyle name="Normal 5 3 3" xfId="1520"/>
    <cellStyle name="Normal 5 3 4" xfId="1521"/>
    <cellStyle name="Normal 5 3 4 2" xfId="1522"/>
    <cellStyle name="Normal 5 3 4 3" xfId="1523"/>
    <cellStyle name="Normal 5 3 4 4" xfId="1524"/>
    <cellStyle name="Normal 5 3 5" xfId="1525"/>
    <cellStyle name="Normal 5 3 6" xfId="1526"/>
    <cellStyle name="Normal 5 3 7" xfId="1527"/>
    <cellStyle name="Normal 5 4" xfId="1528"/>
    <cellStyle name="Normal 5 5" xfId="1529"/>
    <cellStyle name="Normal 5 5 2" xfId="1530"/>
    <cellStyle name="Normal 5 6" xfId="1531"/>
    <cellStyle name="Normal 5 7" xfId="1532"/>
    <cellStyle name="Normal 5 8" xfId="1533"/>
    <cellStyle name="Normal 50" xfId="1534"/>
    <cellStyle name="Normal 51" xfId="1535"/>
    <cellStyle name="Normal 52" xfId="11"/>
    <cellStyle name="Normal 53" xfId="1536"/>
    <cellStyle name="Normal 54" xfId="1836"/>
    <cellStyle name="Normal 54 2" xfId="2205"/>
    <cellStyle name="Normal 55" xfId="1837"/>
    <cellStyle name="Normal 55 2" xfId="2206"/>
    <cellStyle name="Normal 6" xfId="1537"/>
    <cellStyle name="Normal 6 10" xfId="1538"/>
    <cellStyle name="Normal 6 11" xfId="10"/>
    <cellStyle name="Normal 6 2" xfId="1539"/>
    <cellStyle name="Normal 6 2 2" xfId="1540"/>
    <cellStyle name="Normal 6 2 2 2" xfId="1541"/>
    <cellStyle name="Normal 6 2 2 2 2" xfId="1542"/>
    <cellStyle name="Normal 6 2 2 2 3" xfId="1543"/>
    <cellStyle name="Normal 6 2 2 2 4" xfId="1544"/>
    <cellStyle name="Normal 6 2 2 3" xfId="1545"/>
    <cellStyle name="Normal 6 2 2 4" xfId="1546"/>
    <cellStyle name="Normal 6 2 2 5" xfId="1547"/>
    <cellStyle name="Normal 6 2 3" xfId="1548"/>
    <cellStyle name="Normal 6 2 3 2" xfId="1549"/>
    <cellStyle name="Normal 6 2 3 3" xfId="1550"/>
    <cellStyle name="Normal 6 2 3 4" xfId="1551"/>
    <cellStyle name="Normal 6 2 4" xfId="1552"/>
    <cellStyle name="Normal 6 2 5" xfId="1553"/>
    <cellStyle name="Normal 6 2 6" xfId="1554"/>
    <cellStyle name="Normal 6 3" xfId="1555"/>
    <cellStyle name="Normal 6 3 2" xfId="1556"/>
    <cellStyle name="Normal 6 3 2 2" xfId="1557"/>
    <cellStyle name="Normal 6 3 2 3" xfId="1558"/>
    <cellStyle name="Normal 6 3 2 4" xfId="1559"/>
    <cellStyle name="Normal 6 3 3" xfId="1560"/>
    <cellStyle name="Normal 6 3 4" xfId="1561"/>
    <cellStyle name="Normal 6 3 5" xfId="1562"/>
    <cellStyle name="Normal 6 4" xfId="1563"/>
    <cellStyle name="Normal 6 4 2" xfId="1564"/>
    <cellStyle name="Normal 6 4 2 2" xfId="1565"/>
    <cellStyle name="Normal 6 4 2 3" xfId="1566"/>
    <cellStyle name="Normal 6 4 2 4" xfId="1567"/>
    <cellStyle name="Normal 6 4 3" xfId="1568"/>
    <cellStyle name="Normal 6 4 4" xfId="1569"/>
    <cellStyle name="Normal 6 4 5" xfId="1570"/>
    <cellStyle name="Normal 6 5" xfId="1571"/>
    <cellStyle name="Normal 6 5 2" xfId="1572"/>
    <cellStyle name="Normal 6 5 3" xfId="1573"/>
    <cellStyle name="Normal 6 5 4" xfId="1574"/>
    <cellStyle name="Normal 6 6" xfId="1575"/>
    <cellStyle name="Normal 6 7" xfId="1576"/>
    <cellStyle name="Normal 6 7 2" xfId="1577"/>
    <cellStyle name="Normal 6 8" xfId="1578"/>
    <cellStyle name="Normal 6 9" xfId="1579"/>
    <cellStyle name="Normal 7" xfId="1580"/>
    <cellStyle name="Normal 7 2" xfId="12"/>
    <cellStyle name="Normal 8" xfId="1581"/>
    <cellStyle name="Normal 8 2" xfId="1582"/>
    <cellStyle name="Normal 8 2 2" xfId="1583"/>
    <cellStyle name="Normal 8 2 3" xfId="1584"/>
    <cellStyle name="Normal 8 2 4" xfId="1585"/>
    <cellStyle name="Normal 8 3" xfId="1586"/>
    <cellStyle name="Normal 8 4" xfId="1587"/>
    <cellStyle name="Normal 8 5" xfId="1588"/>
    <cellStyle name="Normal 8 6" xfId="1589"/>
    <cellStyle name="Normal 9" xfId="1590"/>
    <cellStyle name="Normal 9 2" xfId="1591"/>
    <cellStyle name="Normal 9 2 2" xfId="1592"/>
    <cellStyle name="Normal 9 2 3" xfId="1593"/>
    <cellStyle name="Normal 9 2 4" xfId="1594"/>
    <cellStyle name="Normal 9 3" xfId="1595"/>
    <cellStyle name="Normal 9 4" xfId="1596"/>
    <cellStyle name="Normal 9 5" xfId="1597"/>
    <cellStyle name="Note 2" xfId="1598"/>
    <cellStyle name="Note 2 2" xfId="1599"/>
    <cellStyle name="Note 2 2 2" xfId="1600"/>
    <cellStyle name="Note 2 2 2 2" xfId="1601"/>
    <cellStyle name="Note 2 2 2 2 2" xfId="1602"/>
    <cellStyle name="Note 2 2 2 2 2 2" xfId="1603"/>
    <cellStyle name="Note 2 2 2 2 2 3" xfId="1604"/>
    <cellStyle name="Note 2 2 2 2 3" xfId="1605"/>
    <cellStyle name="Note 2 2 2 3" xfId="1606"/>
    <cellStyle name="Note 2 2 2 3 2" xfId="1607"/>
    <cellStyle name="Note 2 2 2 3 3" xfId="1608"/>
    <cellStyle name="Note 2 2 2 4" xfId="1609"/>
    <cellStyle name="Note 2 2 3" xfId="1610"/>
    <cellStyle name="Note 2 2 3 2" xfId="1611"/>
    <cellStyle name="Note 2 2 3 2 2" xfId="1612"/>
    <cellStyle name="Note 2 2 3 2 3" xfId="1613"/>
    <cellStyle name="Note 2 2 3 3" xfId="1614"/>
    <cellStyle name="Note 2 2 4" xfId="1615"/>
    <cellStyle name="Note 2 2 4 2" xfId="1616"/>
    <cellStyle name="Note 2 2 4 3" xfId="1617"/>
    <cellStyle name="Note 2 2 5" xfId="1618"/>
    <cellStyle name="Note 2 3" xfId="1619"/>
    <cellStyle name="Note 2 3 2" xfId="1620"/>
    <cellStyle name="Note 2 3 2 2" xfId="1621"/>
    <cellStyle name="Note 2 3 2 2 2" xfId="1622"/>
    <cellStyle name="Note 2 3 2 2 3" xfId="1623"/>
    <cellStyle name="Note 2 3 2 3" xfId="1624"/>
    <cellStyle name="Note 2 3 3" xfId="1625"/>
    <cellStyle name="Note 2 3 3 2" xfId="1626"/>
    <cellStyle name="Note 2 3 3 3" xfId="1627"/>
    <cellStyle name="Note 2 3 4" xfId="1628"/>
    <cellStyle name="Note 2 4" xfId="1629"/>
    <cellStyle name="Note 2 4 2" xfId="1630"/>
    <cellStyle name="Note 2 4 2 2" xfId="1631"/>
    <cellStyle name="Note 2 4 2 2 2" xfId="1632"/>
    <cellStyle name="Note 2 4 2 2 3" xfId="1633"/>
    <cellStyle name="Note 2 4 2 3" xfId="1634"/>
    <cellStyle name="Note 2 4 3" xfId="1635"/>
    <cellStyle name="Note 2 4 3 2" xfId="1636"/>
    <cellStyle name="Note 2 4 3 3" xfId="1637"/>
    <cellStyle name="Note 2 4 4" xfId="1638"/>
    <cellStyle name="Note 2 5" xfId="1639"/>
    <cellStyle name="Note 2 5 2" xfId="1640"/>
    <cellStyle name="Note 2 5 2 2" xfId="1641"/>
    <cellStyle name="Note 2 5 2 3" xfId="1642"/>
    <cellStyle name="Note 2 5 3" xfId="1643"/>
    <cellStyle name="Note 2 6" xfId="1644"/>
    <cellStyle name="Note 3" xfId="1645"/>
    <cellStyle name="Note 3 2" xfId="1646"/>
    <cellStyle name="Note 3 2 2" xfId="1647"/>
    <cellStyle name="Note 3 2 2 2" xfId="1648"/>
    <cellStyle name="Note 3 2 2 2 2" xfId="1649"/>
    <cellStyle name="Note 3 2 2 2 2 2" xfId="1650"/>
    <cellStyle name="Note 3 2 2 2 2 3" xfId="1651"/>
    <cellStyle name="Note 3 2 2 2 3" xfId="1652"/>
    <cellStyle name="Note 3 2 2 3" xfId="1653"/>
    <cellStyle name="Note 3 2 2 3 2" xfId="1654"/>
    <cellStyle name="Note 3 2 2 3 3" xfId="1655"/>
    <cellStyle name="Note 3 2 2 4" xfId="1656"/>
    <cellStyle name="Note 3 2 3" xfId="1657"/>
    <cellStyle name="Note 3 2 3 2" xfId="1658"/>
    <cellStyle name="Note 3 2 3 2 2" xfId="1659"/>
    <cellStyle name="Note 3 2 3 2 3" xfId="1660"/>
    <cellStyle name="Note 3 2 3 3" xfId="1661"/>
    <cellStyle name="Note 3 2 4" xfId="1662"/>
    <cellStyle name="Note 3 2 4 2" xfId="1663"/>
    <cellStyle name="Note 3 2 4 3" xfId="1664"/>
    <cellStyle name="Note 3 2 5" xfId="1665"/>
    <cellStyle name="Note 3 3" xfId="1666"/>
    <cellStyle name="Note 3 3 2" xfId="1667"/>
    <cellStyle name="Note 3 3 2 2" xfId="1668"/>
    <cellStyle name="Note 3 3 2 2 2" xfId="1669"/>
    <cellStyle name="Note 3 3 2 2 3" xfId="1670"/>
    <cellStyle name="Note 3 3 2 3" xfId="1671"/>
    <cellStyle name="Note 3 3 3" xfId="1672"/>
    <cellStyle name="Note 3 3 3 2" xfId="1673"/>
    <cellStyle name="Note 3 3 3 3" xfId="1674"/>
    <cellStyle name="Note 3 3 4" xfId="1675"/>
    <cellStyle name="Note 3 4" xfId="1676"/>
    <cellStyle name="Note 3 4 2" xfId="1677"/>
    <cellStyle name="Note 3 4 2 2" xfId="1678"/>
    <cellStyle name="Note 3 4 2 2 2" xfId="1679"/>
    <cellStyle name="Note 3 4 2 2 3" xfId="1680"/>
    <cellStyle name="Note 3 4 2 3" xfId="1681"/>
    <cellStyle name="Note 3 4 3" xfId="1682"/>
    <cellStyle name="Note 3 4 3 2" xfId="1683"/>
    <cellStyle name="Note 3 4 3 3" xfId="1684"/>
    <cellStyle name="Note 3 4 4" xfId="1685"/>
    <cellStyle name="Note 3 5" xfId="1686"/>
    <cellStyle name="Note 3 5 2" xfId="1687"/>
    <cellStyle name="Note 3 5 2 2" xfId="1688"/>
    <cellStyle name="Note 3 5 2 3" xfId="1689"/>
    <cellStyle name="Note 3 5 3" xfId="1690"/>
    <cellStyle name="Note 3 6" xfId="1691"/>
    <cellStyle name="Note 3 6 2" xfId="1692"/>
    <cellStyle name="Note 3 6 3" xfId="1693"/>
    <cellStyle name="Note 3 7" xfId="1694"/>
    <cellStyle name="Note 4" xfId="1695"/>
    <cellStyle name="Note 5" xfId="1696"/>
    <cellStyle name="Note 6" xfId="1697"/>
    <cellStyle name="Output 2" xfId="1698"/>
    <cellStyle name="Output 3" xfId="1699"/>
    <cellStyle name="Output 4" xfId="1700"/>
    <cellStyle name="Percent [2]" xfId="1701"/>
    <cellStyle name="Percent [2] 2" xfId="1702"/>
    <cellStyle name="Percent [2] 3" xfId="1703"/>
    <cellStyle name="Percent 2" xfId="1704"/>
    <cellStyle name="Percent 2 2" xfId="1705"/>
    <cellStyle name="Percent 2 3" xfId="1706"/>
    <cellStyle name="Percent 3" xfId="1707"/>
    <cellStyle name="Percent 3 2" xfId="1708"/>
    <cellStyle name="Percent 3 2 2" xfId="1709"/>
    <cellStyle name="Percent 3 2 3" xfId="1710"/>
    <cellStyle name="Percent 3 3" xfId="1711"/>
    <cellStyle name="Percent 4" xfId="1712"/>
    <cellStyle name="Percent 4 2" xfId="1713"/>
    <cellStyle name="Percent 5" xfId="1714"/>
    <cellStyle name="Percent 5 2" xfId="1715"/>
    <cellStyle name="Percent 6" xfId="1716"/>
    <cellStyle name="Percent 6 2" xfId="1717"/>
    <cellStyle name="Percent 7" xfId="1718"/>
    <cellStyle name="Percent 7 2" xfId="1719"/>
    <cellStyle name="Percent 8" xfId="1720"/>
    <cellStyle name="Percent 9" xfId="1721"/>
    <cellStyle name="Procent" xfId="1" builtinId="5"/>
    <cellStyle name="Procent 2" xfId="1722"/>
    <cellStyle name="Procent 3" xfId="1723"/>
    <cellStyle name="Prozent_LAGER97" xfId="1724"/>
    <cellStyle name="Prozentgroß" xfId="1725"/>
    <cellStyle name="Prozentklein" xfId="1726"/>
    <cellStyle name="Standard 2" xfId="1727"/>
    <cellStyle name="Standard 2 2" xfId="1728"/>
    <cellStyle name="Standard 3" xfId="1729"/>
    <cellStyle name="Standard 4" xfId="1730"/>
    <cellStyle name="Standard 5" xfId="1731"/>
    <cellStyle name="Standard 5 2" xfId="1732"/>
    <cellStyle name="Standard 5 3" xfId="1733"/>
    <cellStyle name="Standard 5 4" xfId="1734"/>
    <cellStyle name="Standard_Amort.-Rechnung" xfId="1735"/>
    <cellStyle name="Standard10" xfId="1736"/>
    <cellStyle name="Standard12" xfId="1737"/>
    <cellStyle name="Style 1" xfId="1738"/>
    <cellStyle name="Style 1 2" xfId="1739"/>
    <cellStyle name="Title 2" xfId="1740"/>
    <cellStyle name="Title 3" xfId="1741"/>
    <cellStyle name="Title 4" xfId="1742"/>
    <cellStyle name="Total 2" xfId="1743"/>
    <cellStyle name="Total 3" xfId="1744"/>
    <cellStyle name="Total 4" xfId="1745"/>
    <cellStyle name="Tusental (0)_2003 Forecast" xfId="1746"/>
    <cellStyle name="Tusental 10" xfId="1747"/>
    <cellStyle name="Tusental 10 2" xfId="2149"/>
    <cellStyle name="Tusental 11" xfId="1748"/>
    <cellStyle name="Tusental 11 2" xfId="2150"/>
    <cellStyle name="Tusental 12" xfId="1749"/>
    <cellStyle name="Tusental 12 2" xfId="2151"/>
    <cellStyle name="Tusental 13" xfId="1750"/>
    <cellStyle name="Tusental 13 2" xfId="2152"/>
    <cellStyle name="Tusental 14" xfId="1751"/>
    <cellStyle name="Tusental 14 2" xfId="2153"/>
    <cellStyle name="Tusental 15" xfId="1752"/>
    <cellStyle name="Tusental 15 2" xfId="2154"/>
    <cellStyle name="Tusental 16" xfId="1753"/>
    <cellStyle name="Tusental 16 2" xfId="2155"/>
    <cellStyle name="Tusental 17" xfId="1754"/>
    <cellStyle name="Tusental 17 2" xfId="2156"/>
    <cellStyle name="Tusental 18" xfId="1755"/>
    <cellStyle name="Tusental 18 2" xfId="2157"/>
    <cellStyle name="Tusental 19" xfId="1756"/>
    <cellStyle name="Tusental 19 2" xfId="2158"/>
    <cellStyle name="Tusental 2" xfId="1757"/>
    <cellStyle name="Tusental 2 2" xfId="2159"/>
    <cellStyle name="Tusental 20" xfId="1758"/>
    <cellStyle name="Tusental 20 2" xfId="2160"/>
    <cellStyle name="Tusental 21" xfId="1759"/>
    <cellStyle name="Tusental 21 2" xfId="2161"/>
    <cellStyle name="Tusental 22" xfId="1760"/>
    <cellStyle name="Tusental 22 2" xfId="2162"/>
    <cellStyle name="Tusental 23" xfId="1761"/>
    <cellStyle name="Tusental 23 2" xfId="2163"/>
    <cellStyle name="Tusental 24" xfId="1762"/>
    <cellStyle name="Tusental 24 2" xfId="2164"/>
    <cellStyle name="Tusental 25" xfId="1763"/>
    <cellStyle name="Tusental 25 2" xfId="2165"/>
    <cellStyle name="Tusental 26" xfId="1764"/>
    <cellStyle name="Tusental 26 2" xfId="2166"/>
    <cellStyle name="Tusental 27" xfId="1765"/>
    <cellStyle name="Tusental 27 2" xfId="2167"/>
    <cellStyle name="Tusental 28" xfId="1766"/>
    <cellStyle name="Tusental 28 2" xfId="2168"/>
    <cellStyle name="Tusental 29" xfId="1767"/>
    <cellStyle name="Tusental 29 2" xfId="2169"/>
    <cellStyle name="Tusental 3" xfId="1768"/>
    <cellStyle name="Tusental 3 2" xfId="2170"/>
    <cellStyle name="Tusental 4" xfId="1769"/>
    <cellStyle name="Tusental 4 2" xfId="2171"/>
    <cellStyle name="Tusental 5" xfId="1770"/>
    <cellStyle name="Tusental 5 2" xfId="2172"/>
    <cellStyle name="Tusental 6" xfId="1771"/>
    <cellStyle name="Tusental 6 2" xfId="2173"/>
    <cellStyle name="Tusental 7" xfId="1772"/>
    <cellStyle name="Tusental 7 2" xfId="2174"/>
    <cellStyle name="Tusental 8" xfId="1773"/>
    <cellStyle name="Tusental 8 2" xfId="2175"/>
    <cellStyle name="Tusental 9" xfId="1774"/>
    <cellStyle name="Tusental 9 2" xfId="2176"/>
    <cellStyle name="Valuta (0)_2003 Forecast" xfId="1775"/>
    <cellStyle name="Valuta 10" xfId="1776"/>
    <cellStyle name="Valuta 10 2" xfId="2177"/>
    <cellStyle name="Valuta 11" xfId="1777"/>
    <cellStyle name="Valuta 11 2" xfId="2178"/>
    <cellStyle name="Valuta 12" xfId="1778"/>
    <cellStyle name="Valuta 12 2" xfId="2179"/>
    <cellStyle name="Valuta 13" xfId="1779"/>
    <cellStyle name="Valuta 13 2" xfId="2180"/>
    <cellStyle name="Valuta 14" xfId="1780"/>
    <cellStyle name="Valuta 14 2" xfId="2181"/>
    <cellStyle name="Valuta 15" xfId="1781"/>
    <cellStyle name="Valuta 15 2" xfId="2182"/>
    <cellStyle name="Valuta 16" xfId="1782"/>
    <cellStyle name="Valuta 16 2" xfId="2183"/>
    <cellStyle name="Valuta 17" xfId="1783"/>
    <cellStyle name="Valuta 17 2" xfId="2184"/>
    <cellStyle name="Valuta 18" xfId="1784"/>
    <cellStyle name="Valuta 18 2" xfId="2185"/>
    <cellStyle name="Valuta 19" xfId="1785"/>
    <cellStyle name="Valuta 19 2" xfId="2186"/>
    <cellStyle name="Valuta 2" xfId="15"/>
    <cellStyle name="Valuta 2 2" xfId="1839"/>
    <cellStyle name="Valuta 20" xfId="1786"/>
    <cellStyle name="Valuta 20 2" xfId="2187"/>
    <cellStyle name="Valuta 21" xfId="1787"/>
    <cellStyle name="Valuta 21 2" xfId="2188"/>
    <cellStyle name="Valuta 22" xfId="1788"/>
    <cellStyle name="Valuta 22 2" xfId="2189"/>
    <cellStyle name="Valuta 23" xfId="1789"/>
    <cellStyle name="Valuta 23 2" xfId="2190"/>
    <cellStyle name="Valuta 24" xfId="1790"/>
    <cellStyle name="Valuta 24 2" xfId="2191"/>
    <cellStyle name="Valuta 25" xfId="1791"/>
    <cellStyle name="Valuta 25 2" xfId="2192"/>
    <cellStyle name="Valuta 26" xfId="1792"/>
    <cellStyle name="Valuta 26 2" xfId="2193"/>
    <cellStyle name="Valuta 27" xfId="1793"/>
    <cellStyle name="Valuta 27 2" xfId="2194"/>
    <cellStyle name="Valuta 28" xfId="1794"/>
    <cellStyle name="Valuta 28 2" xfId="2195"/>
    <cellStyle name="Valuta 29" xfId="1795"/>
    <cellStyle name="Valuta 29 2" xfId="2196"/>
    <cellStyle name="Valuta 3" xfId="1796"/>
    <cellStyle name="Valuta 3 2" xfId="1797"/>
    <cellStyle name="Valuta 3 2 2" xfId="1798"/>
    <cellStyle name="Valuta 3 2 3" xfId="1799"/>
    <cellStyle name="Valuta 3 3" xfId="1800"/>
    <cellStyle name="Valuta 30" xfId="1801"/>
    <cellStyle name="Valuta 30 2" xfId="2197"/>
    <cellStyle name="Valuta 31" xfId="1802"/>
    <cellStyle name="Valuta 31 2" xfId="2198"/>
    <cellStyle name="Valuta 4" xfId="1803"/>
    <cellStyle name="Valuta 4 2" xfId="2199"/>
    <cellStyle name="Valuta 5" xfId="1804"/>
    <cellStyle name="Valuta 5 2" xfId="2200"/>
    <cellStyle name="Valuta 6" xfId="1805"/>
    <cellStyle name="Valuta 6 2" xfId="2201"/>
    <cellStyle name="Valuta 7" xfId="1806"/>
    <cellStyle name="Valuta 7 2" xfId="2202"/>
    <cellStyle name="Valuta 8" xfId="1807"/>
    <cellStyle name="Valuta 8 2" xfId="2203"/>
    <cellStyle name="Valuta 9" xfId="1808"/>
    <cellStyle name="Valuta 9 2" xfId="2204"/>
    <cellStyle name="Warning Text 2" xfId="1809"/>
    <cellStyle name="Warning Text 3" xfId="1810"/>
    <cellStyle name="Warning Text 4" xfId="1811"/>
    <cellStyle name="Währung [0]_35ERI8T2gbIEMixb4v26icuOo" xfId="1812"/>
    <cellStyle name="Währung 2" xfId="1813"/>
    <cellStyle name="Währung 3" xfId="1814"/>
    <cellStyle name="Währung 4" xfId="1815"/>
    <cellStyle name="Währung_35ERI8T2gbIEMixb4v26icuOo" xfId="1816"/>
    <cellStyle name="Währung0" xfId="1817"/>
    <cellStyle name="Währunggroß" xfId="1818"/>
    <cellStyle name="Währungklein" xfId="1819"/>
    <cellStyle name="Zeile 1" xfId="1820"/>
    <cellStyle name="Zeile 2" xfId="1821"/>
    <cellStyle name="一般 2" xfId="1822"/>
    <cellStyle name="一般 2 2" xfId="1823"/>
    <cellStyle name="一般 3" xfId="1824"/>
    <cellStyle name="桁区切り 4" xfId="1825"/>
    <cellStyle name="桁区切り 5" xfId="1826"/>
    <cellStyle name="標準 15" xfId="1827"/>
    <cellStyle name="標準 17" xfId="1828"/>
    <cellStyle name="標準 19" xfId="1829"/>
    <cellStyle name="標準 2" xfId="1830"/>
    <cellStyle name="標準 2 2" xfId="1831"/>
    <cellStyle name="標準 38" xfId="1832"/>
    <cellStyle name="標準 39" xfId="1833"/>
    <cellStyle name="標準 5" xfId="1834"/>
    <cellStyle name="標準 6" xfId="1835"/>
  </cellStyles>
  <dxfs count="97">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fill>
        <patternFill>
          <bgColor theme="0"/>
        </patternFill>
      </fill>
      <border>
        <right/>
        <vertical/>
        <horizontal/>
      </border>
    </dxf>
    <dxf>
      <font>
        <color theme="0"/>
      </font>
      <fill>
        <patternFill>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bgColor theme="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theme="0"/>
      </font>
      <border>
        <left style="thin">
          <color theme="0"/>
        </left>
        <right style="thin">
          <color theme="0"/>
        </right>
        <top style="thin">
          <color theme="0"/>
        </top>
        <bottom style="thin">
          <color theme="0"/>
        </bottom>
        <vertical/>
        <horizontal/>
      </border>
    </dxf>
    <dxf>
      <font>
        <color theme="0"/>
      </font>
      <fill>
        <patternFill patternType="solid">
          <fgColor theme="0"/>
          <bgColor theme="0"/>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bgColor theme="0"/>
        </patternFill>
      </fill>
    </dxf>
    <dxf>
      <font>
        <color theme="0"/>
      </font>
      <fill>
        <patternFill patternType="none">
          <bgColor auto="1"/>
        </patternFill>
      </fill>
    </dxf>
    <dxf>
      <font>
        <color theme="0"/>
      </font>
    </dxf>
    <dxf>
      <font>
        <color theme="0"/>
      </font>
    </dxf>
    <dxf>
      <font>
        <color theme="0"/>
      </font>
      <fill>
        <patternFill patternType="none">
          <bgColor auto="1"/>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tint="-4.9989318521683403E-2"/>
      </font>
    </dxf>
    <dxf>
      <font>
        <color theme="0" tint="-4.9989318521683403E-2"/>
      </font>
    </dxf>
    <dxf>
      <font>
        <color theme="0"/>
      </font>
    </dxf>
    <dxf>
      <font>
        <color theme="4" tint="0.79998168889431442"/>
      </font>
    </dxf>
    <dxf>
      <numFmt numFmtId="3" formatCode="#,##0"/>
    </dxf>
    <dxf>
      <numFmt numFmtId="4" formatCode="#,##0.00"/>
    </dxf>
    <dxf>
      <numFmt numFmtId="4" formatCode="#,##0.00"/>
    </dxf>
    <dxf>
      <font>
        <color rgb="FFFF0000"/>
      </font>
    </dxf>
    <dxf>
      <font>
        <color rgb="FFFF0000"/>
      </font>
    </dxf>
    <dxf>
      <fill>
        <patternFill patternType="solid">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ont>
        <color rgb="FFFF0000"/>
      </font>
    </dxf>
    <dxf>
      <font>
        <color rgb="FFFF0000"/>
      </font>
    </dxf>
    <dxf>
      <numFmt numFmtId="2" formatCode="0.00"/>
    </dxf>
    <dxf>
      <numFmt numFmtId="1" formatCode="0"/>
    </dxf>
    <dxf>
      <numFmt numFmtId="1" formatCode="0"/>
    </dxf>
    <dxf>
      <font>
        <b/>
        <i val="0"/>
        <color rgb="FFFF0000"/>
      </font>
    </dxf>
    <dxf>
      <font>
        <b/>
        <i val="0"/>
        <color rgb="FFFF0000"/>
      </font>
    </dxf>
    <dxf>
      <font>
        <b/>
        <i val="0"/>
        <color rgb="FFFF0000"/>
      </font>
    </dxf>
    <dxf>
      <numFmt numFmtId="2" formatCode="0.00"/>
    </dxf>
    <dxf>
      <numFmt numFmtId="1" formatCode="0"/>
    </dxf>
    <dxf>
      <numFmt numFmtId="1" formatCode="0"/>
    </dxf>
    <dxf>
      <numFmt numFmtId="2" formatCode="0.00"/>
    </dxf>
    <dxf>
      <numFmt numFmtId="1" formatCode="0"/>
    </dxf>
    <dxf>
      <numFmt numFmtId="1" formatCode="0"/>
    </dxf>
    <dxf>
      <numFmt numFmtId="2" formatCode="0.00"/>
    </dxf>
    <dxf>
      <numFmt numFmtId="1" formatCode="0"/>
    </dxf>
    <dxf>
      <numFmt numFmtId="1" formatCode="0"/>
    </dxf>
  </dxfs>
  <tableStyles count="0" defaultTableStyle="TableStyleMedium2" defaultPivotStyle="PivotStyleLight16"/>
  <colors>
    <mruColors>
      <color rgb="FFFFFFCC"/>
      <color rgb="FFCCFFFF"/>
      <color rgb="FF0000FF"/>
      <color rgb="FF66FFFF"/>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35917301633476"/>
          <c:y val="8.2510412161591468E-2"/>
          <c:w val="0.72856371349522386"/>
          <c:h val="0.65198742519010977"/>
        </c:manualLayout>
      </c:layout>
      <c:scatterChart>
        <c:scatterStyle val="lineMarker"/>
        <c:varyColors val="0"/>
        <c:ser>
          <c:idx val="0"/>
          <c:order val="0"/>
          <c:tx>
            <c:strRef>
              <c:f>Data!$AQ$144</c:f>
              <c:strCache>
                <c:ptCount val="1"/>
                <c:pt idx="0">
                  <c:v>Continuous</c:v>
                </c:pt>
              </c:strCache>
            </c:strRef>
          </c:tx>
          <c:spPr>
            <a:ln w="22225">
              <a:prstDash val="solid"/>
            </a:ln>
          </c:spPr>
          <c:marker>
            <c:symbol val="none"/>
          </c:marker>
          <c:xVal>
            <c:numRef>
              <c:f>Data!$AR$146:$AR$197</c:f>
              <c:numCache>
                <c:formatCode>General</c:formatCode>
                <c:ptCount val="52"/>
                <c:pt idx="0">
                  <c:v>0</c:v>
                </c:pt>
                <c:pt idx="1">
                  <c:v>160</c:v>
                </c:pt>
                <c:pt idx="2">
                  <c:v>320</c:v>
                </c:pt>
                <c:pt idx="3">
                  <c:v>480</c:v>
                </c:pt>
                <c:pt idx="4">
                  <c:v>640</c:v>
                </c:pt>
                <c:pt idx="5">
                  <c:v>800</c:v>
                </c:pt>
                <c:pt idx="6">
                  <c:v>960</c:v>
                </c:pt>
                <c:pt idx="7">
                  <c:v>1120</c:v>
                </c:pt>
                <c:pt idx="8">
                  <c:v>1280</c:v>
                </c:pt>
                <c:pt idx="9">
                  <c:v>1440</c:v>
                </c:pt>
                <c:pt idx="10">
                  <c:v>1600</c:v>
                </c:pt>
                <c:pt idx="11">
                  <c:v>1760</c:v>
                </c:pt>
                <c:pt idx="12">
                  <c:v>1920</c:v>
                </c:pt>
                <c:pt idx="13">
                  <c:v>2080</c:v>
                </c:pt>
                <c:pt idx="14">
                  <c:v>2240</c:v>
                </c:pt>
                <c:pt idx="15">
                  <c:v>2400</c:v>
                </c:pt>
                <c:pt idx="16">
                  <c:v>2560</c:v>
                </c:pt>
                <c:pt idx="17">
                  <c:v>2720</c:v>
                </c:pt>
                <c:pt idx="18">
                  <c:v>2880</c:v>
                </c:pt>
                <c:pt idx="19">
                  <c:v>3040</c:v>
                </c:pt>
                <c:pt idx="20">
                  <c:v>3200</c:v>
                </c:pt>
                <c:pt idx="21">
                  <c:v>3360</c:v>
                </c:pt>
                <c:pt idx="22">
                  <c:v>3520</c:v>
                </c:pt>
                <c:pt idx="23">
                  <c:v>3680</c:v>
                </c:pt>
                <c:pt idx="24">
                  <c:v>3840</c:v>
                </c:pt>
                <c:pt idx="25">
                  <c:v>4000</c:v>
                </c:pt>
                <c:pt idx="26">
                  <c:v>4160</c:v>
                </c:pt>
                <c:pt idx="27">
                  <c:v>4320</c:v>
                </c:pt>
                <c:pt idx="28">
                  <c:v>4480</c:v>
                </c:pt>
                <c:pt idx="29">
                  <c:v>4640</c:v>
                </c:pt>
                <c:pt idx="30">
                  <c:v>4800</c:v>
                </c:pt>
                <c:pt idx="31">
                  <c:v>4960</c:v>
                </c:pt>
                <c:pt idx="32">
                  <c:v>5120</c:v>
                </c:pt>
                <c:pt idx="33">
                  <c:v>5280</c:v>
                </c:pt>
                <c:pt idx="34">
                  <c:v>5440</c:v>
                </c:pt>
                <c:pt idx="35">
                  <c:v>5600</c:v>
                </c:pt>
                <c:pt idx="36">
                  <c:v>5760</c:v>
                </c:pt>
                <c:pt idx="37">
                  <c:v>5920</c:v>
                </c:pt>
                <c:pt idx="38">
                  <c:v>6080</c:v>
                </c:pt>
                <c:pt idx="39">
                  <c:v>6240</c:v>
                </c:pt>
                <c:pt idx="40">
                  <c:v>6400</c:v>
                </c:pt>
                <c:pt idx="41">
                  <c:v>6560</c:v>
                </c:pt>
                <c:pt idx="42">
                  <c:v>6720</c:v>
                </c:pt>
                <c:pt idx="43">
                  <c:v>6880</c:v>
                </c:pt>
                <c:pt idx="44">
                  <c:v>7040</c:v>
                </c:pt>
                <c:pt idx="45">
                  <c:v>7200</c:v>
                </c:pt>
                <c:pt idx="46">
                  <c:v>7360</c:v>
                </c:pt>
                <c:pt idx="47">
                  <c:v>7520</c:v>
                </c:pt>
                <c:pt idx="48">
                  <c:v>7680</c:v>
                </c:pt>
                <c:pt idx="49">
                  <c:v>7840</c:v>
                </c:pt>
                <c:pt idx="50">
                  <c:v>8000</c:v>
                </c:pt>
                <c:pt idx="51">
                  <c:v>8000</c:v>
                </c:pt>
              </c:numCache>
            </c:numRef>
          </c:xVal>
          <c:yVal>
            <c:numRef>
              <c:f>Data!$AQ$146:$AQ$197</c:f>
              <c:numCache>
                <c:formatCode>General</c:formatCode>
                <c:ptCount val="52"/>
                <c:pt idx="0">
                  <c:v>0.87</c:v>
                </c:pt>
                <c:pt idx="1">
                  <c:v>0.86680000000000001</c:v>
                </c:pt>
                <c:pt idx="2">
                  <c:v>0.86360000000000003</c:v>
                </c:pt>
                <c:pt idx="3">
                  <c:v>0.86040000000000005</c:v>
                </c:pt>
                <c:pt idx="4">
                  <c:v>0.85720000000000007</c:v>
                </c:pt>
                <c:pt idx="5">
                  <c:v>0.85400000000000009</c:v>
                </c:pt>
                <c:pt idx="6">
                  <c:v>0.85080000000000011</c:v>
                </c:pt>
                <c:pt idx="7">
                  <c:v>0.84824000000000011</c:v>
                </c:pt>
                <c:pt idx="8">
                  <c:v>0.8456800000000001</c:v>
                </c:pt>
                <c:pt idx="9">
                  <c:v>0.84312000000000009</c:v>
                </c:pt>
                <c:pt idx="10">
                  <c:v>0.84056000000000008</c:v>
                </c:pt>
                <c:pt idx="11">
                  <c:v>0.83800000000000008</c:v>
                </c:pt>
                <c:pt idx="12">
                  <c:v>0.83544000000000007</c:v>
                </c:pt>
                <c:pt idx="13">
                  <c:v>0.83288000000000006</c:v>
                </c:pt>
                <c:pt idx="14">
                  <c:v>0.83032000000000006</c:v>
                </c:pt>
                <c:pt idx="15">
                  <c:v>0.82776000000000005</c:v>
                </c:pt>
                <c:pt idx="16">
                  <c:v>0.82520000000000004</c:v>
                </c:pt>
                <c:pt idx="17">
                  <c:v>0.82264000000000004</c:v>
                </c:pt>
                <c:pt idx="18">
                  <c:v>0.82008000000000003</c:v>
                </c:pt>
                <c:pt idx="19">
                  <c:v>0.81752000000000002</c:v>
                </c:pt>
                <c:pt idx="20">
                  <c:v>0.81496000000000002</c:v>
                </c:pt>
                <c:pt idx="21">
                  <c:v>0.81240000000000001</c:v>
                </c:pt>
                <c:pt idx="22">
                  <c:v>0.80848888888888892</c:v>
                </c:pt>
                <c:pt idx="23">
                  <c:v>0.80457777777777784</c:v>
                </c:pt>
                <c:pt idx="24">
                  <c:v>0.80066666666666675</c:v>
                </c:pt>
                <c:pt idx="25">
                  <c:v>0.79675555555555566</c:v>
                </c:pt>
                <c:pt idx="26">
                  <c:v>0.79284444444444457</c:v>
                </c:pt>
                <c:pt idx="27">
                  <c:v>0.78893333333333349</c:v>
                </c:pt>
                <c:pt idx="28">
                  <c:v>0.7850222222222224</c:v>
                </c:pt>
                <c:pt idx="29">
                  <c:v>0.78111111111111131</c:v>
                </c:pt>
                <c:pt idx="30">
                  <c:v>0.77720000000000022</c:v>
                </c:pt>
                <c:pt idx="31">
                  <c:v>0.77328888888888914</c:v>
                </c:pt>
                <c:pt idx="32">
                  <c:v>0.76937777777777805</c:v>
                </c:pt>
                <c:pt idx="33">
                  <c:v>0.76546666666666696</c:v>
                </c:pt>
                <c:pt idx="34">
                  <c:v>0.76155555555555587</c:v>
                </c:pt>
                <c:pt idx="35">
                  <c:v>0.75764444444444479</c:v>
                </c:pt>
                <c:pt idx="36">
                  <c:v>0.7537333333333337</c:v>
                </c:pt>
                <c:pt idx="37">
                  <c:v>0.74982222222222261</c:v>
                </c:pt>
                <c:pt idx="38">
                  <c:v>0.74591111111111152</c:v>
                </c:pt>
                <c:pt idx="39">
                  <c:v>0.74200000000000044</c:v>
                </c:pt>
                <c:pt idx="40">
                  <c:v>0.73808888888888935</c:v>
                </c:pt>
                <c:pt idx="41">
                  <c:v>0.73417777777777826</c:v>
                </c:pt>
                <c:pt idx="42">
                  <c:v>0.73026666666666717</c:v>
                </c:pt>
                <c:pt idx="43">
                  <c:v>0.72635555555555609</c:v>
                </c:pt>
                <c:pt idx="44">
                  <c:v>0.722444444444445</c:v>
                </c:pt>
                <c:pt idx="45">
                  <c:v>0.71853333333333391</c:v>
                </c:pt>
                <c:pt idx="46">
                  <c:v>0.71462222222222282</c:v>
                </c:pt>
                <c:pt idx="47">
                  <c:v>0.71071111111111174</c:v>
                </c:pt>
                <c:pt idx="48">
                  <c:v>0.70680000000000065</c:v>
                </c:pt>
                <c:pt idx="49">
                  <c:v>0.70288888888888956</c:v>
                </c:pt>
                <c:pt idx="50">
                  <c:v>0.7</c:v>
                </c:pt>
                <c:pt idx="51">
                  <c:v>0.7</c:v>
                </c:pt>
              </c:numCache>
            </c:numRef>
          </c:yVal>
          <c:smooth val="1"/>
          <c:extLst>
            <c:ext xmlns:c16="http://schemas.microsoft.com/office/drawing/2014/chart" uri="{C3380CC4-5D6E-409C-BE32-E72D297353CC}">
              <c16:uniqueId val="{00000000-6698-4A53-838E-1C575D43A568}"/>
            </c:ext>
          </c:extLst>
        </c:ser>
        <c:ser>
          <c:idx val="1"/>
          <c:order val="1"/>
          <c:tx>
            <c:strRef>
              <c:f>Data!$AS$144</c:f>
              <c:strCache>
                <c:ptCount val="1"/>
                <c:pt idx="0">
                  <c:v>Intermittent</c:v>
                </c:pt>
              </c:strCache>
            </c:strRef>
          </c:tx>
          <c:spPr>
            <a:ln w="22225"/>
          </c:spPr>
          <c:marker>
            <c:symbol val="none"/>
          </c:marker>
          <c:xVal>
            <c:numRef>
              <c:f>Data!$AT$146:$AT$197</c:f>
              <c:numCache>
                <c:formatCode>General</c:formatCode>
                <c:ptCount val="52"/>
                <c:pt idx="0">
                  <c:v>0</c:v>
                </c:pt>
                <c:pt idx="1">
                  <c:v>5148.3999999999996</c:v>
                </c:pt>
                <c:pt idx="2">
                  <c:v>5224.8</c:v>
                </c:pt>
                <c:pt idx="3">
                  <c:v>5302.7</c:v>
                </c:pt>
                <c:pt idx="4">
                  <c:v>5382.1</c:v>
                </c:pt>
                <c:pt idx="5">
                  <c:v>5463.1</c:v>
                </c:pt>
                <c:pt idx="6">
                  <c:v>5545.7</c:v>
                </c:pt>
                <c:pt idx="7">
                  <c:v>5630</c:v>
                </c:pt>
                <c:pt idx="8">
                  <c:v>5715.8</c:v>
                </c:pt>
                <c:pt idx="9">
                  <c:v>5803.3</c:v>
                </c:pt>
                <c:pt idx="10">
                  <c:v>5892.4</c:v>
                </c:pt>
                <c:pt idx="11">
                  <c:v>5983.2</c:v>
                </c:pt>
                <c:pt idx="12">
                  <c:v>6075.6</c:v>
                </c:pt>
                <c:pt idx="13">
                  <c:v>6169.7</c:v>
                </c:pt>
                <c:pt idx="14">
                  <c:v>6265.5</c:v>
                </c:pt>
                <c:pt idx="15">
                  <c:v>6362.9</c:v>
                </c:pt>
                <c:pt idx="16">
                  <c:v>6461.9</c:v>
                </c:pt>
                <c:pt idx="17">
                  <c:v>6562.5</c:v>
                </c:pt>
                <c:pt idx="18">
                  <c:v>6664.7</c:v>
                </c:pt>
                <c:pt idx="19">
                  <c:v>6768.4</c:v>
                </c:pt>
                <c:pt idx="20">
                  <c:v>6873.6</c:v>
                </c:pt>
                <c:pt idx="21">
                  <c:v>6980.1</c:v>
                </c:pt>
                <c:pt idx="22">
                  <c:v>7088</c:v>
                </c:pt>
                <c:pt idx="23">
                  <c:v>7197.1</c:v>
                </c:pt>
                <c:pt idx="24">
                  <c:v>7307.4</c:v>
                </c:pt>
                <c:pt idx="25">
                  <c:v>7418.7</c:v>
                </c:pt>
                <c:pt idx="26">
                  <c:v>7530.8</c:v>
                </c:pt>
                <c:pt idx="27">
                  <c:v>7643.7</c:v>
                </c:pt>
                <c:pt idx="28">
                  <c:v>7757.2</c:v>
                </c:pt>
                <c:pt idx="29">
                  <c:v>7871.1</c:v>
                </c:pt>
                <c:pt idx="30">
                  <c:v>7985.2</c:v>
                </c:pt>
                <c:pt idx="31">
                  <c:v>8000</c:v>
                </c:pt>
                <c:pt idx="32">
                  <c:v>8000</c:v>
                </c:pt>
                <c:pt idx="33">
                  <c:v>8000</c:v>
                </c:pt>
                <c:pt idx="34">
                  <c:v>8000</c:v>
                </c:pt>
                <c:pt idx="35">
                  <c:v>8000</c:v>
                </c:pt>
                <c:pt idx="36">
                  <c:v>8000</c:v>
                </c:pt>
                <c:pt idx="37">
                  <c:v>8000</c:v>
                </c:pt>
                <c:pt idx="38">
                  <c:v>8000</c:v>
                </c:pt>
                <c:pt idx="39">
                  <c:v>8000</c:v>
                </c:pt>
                <c:pt idx="40">
                  <c:v>8000</c:v>
                </c:pt>
                <c:pt idx="41">
                  <c:v>8000</c:v>
                </c:pt>
                <c:pt idx="42">
                  <c:v>8000</c:v>
                </c:pt>
                <c:pt idx="43">
                  <c:v>8000</c:v>
                </c:pt>
                <c:pt idx="44">
                  <c:v>8000</c:v>
                </c:pt>
                <c:pt idx="45">
                  <c:v>8000</c:v>
                </c:pt>
                <c:pt idx="46">
                  <c:v>8000</c:v>
                </c:pt>
                <c:pt idx="47">
                  <c:v>8000</c:v>
                </c:pt>
                <c:pt idx="48">
                  <c:v>8000</c:v>
                </c:pt>
                <c:pt idx="49">
                  <c:v>8000</c:v>
                </c:pt>
                <c:pt idx="50">
                  <c:v>8000</c:v>
                </c:pt>
                <c:pt idx="51">
                  <c:v>8000</c:v>
                </c:pt>
              </c:numCache>
            </c:numRef>
          </c:xVal>
          <c:yVal>
            <c:numRef>
              <c:f>Data!$AS$146:$AS$197</c:f>
              <c:numCache>
                <c:formatCode>General</c:formatCode>
                <c:ptCount val="52"/>
                <c:pt idx="0">
                  <c:v>2.7600000000000002</c:v>
                </c:pt>
                <c:pt idx="1">
                  <c:v>2.7600000000000002</c:v>
                </c:pt>
                <c:pt idx="2">
                  <c:v>2.7194116923076921</c:v>
                </c:pt>
                <c:pt idx="3">
                  <c:v>2.6782269890109891</c:v>
                </c:pt>
                <c:pt idx="4">
                  <c:v>2.6364458901098904</c:v>
                </c:pt>
                <c:pt idx="5">
                  <c:v>2.5940683956043955</c:v>
                </c:pt>
                <c:pt idx="6">
                  <c:v>2.5510945054945053</c:v>
                </c:pt>
                <c:pt idx="7">
                  <c:v>2.5075242197802194</c:v>
                </c:pt>
                <c:pt idx="8">
                  <c:v>2.4633575384615383</c:v>
                </c:pt>
                <c:pt idx="9">
                  <c:v>2.4185944615384618</c:v>
                </c:pt>
                <c:pt idx="10">
                  <c:v>2.3732349890109892</c:v>
                </c:pt>
                <c:pt idx="11">
                  <c:v>2.3272791208791213</c:v>
                </c:pt>
                <c:pt idx="12">
                  <c:v>2.2807268571428576</c:v>
                </c:pt>
                <c:pt idx="13">
                  <c:v>2.2335781978021974</c:v>
                </c:pt>
                <c:pt idx="14">
                  <c:v>2.1858331428571427</c:v>
                </c:pt>
                <c:pt idx="15">
                  <c:v>2.1374916923076923</c:v>
                </c:pt>
                <c:pt idx="16">
                  <c:v>2.0885538461538462</c:v>
                </c:pt>
                <c:pt idx="17">
                  <c:v>2.0390196043956044</c:v>
                </c:pt>
                <c:pt idx="18">
                  <c:v>1.9888889670329672</c:v>
                </c:pt>
                <c:pt idx="19">
                  <c:v>1.938161934065934</c:v>
                </c:pt>
                <c:pt idx="20">
                  <c:v>1.8868385054945054</c:v>
                </c:pt>
                <c:pt idx="21">
                  <c:v>1.8349186813186811</c:v>
                </c:pt>
                <c:pt idx="22">
                  <c:v>1.7824024615384615</c:v>
                </c:pt>
                <c:pt idx="23">
                  <c:v>1.7292898461538462</c:v>
                </c:pt>
                <c:pt idx="24">
                  <c:v>1.6755808351648354</c:v>
                </c:pt>
                <c:pt idx="25">
                  <c:v>1.6212754285714288</c:v>
                </c:pt>
                <c:pt idx="26">
                  <c:v>1.5663736263736265</c:v>
                </c:pt>
                <c:pt idx="27">
                  <c:v>1.5108754285714285</c:v>
                </c:pt>
                <c:pt idx="28">
                  <c:v>1.4547808351648353</c:v>
                </c:pt>
                <c:pt idx="29">
                  <c:v>1.398089846153846</c:v>
                </c:pt>
                <c:pt idx="30">
                  <c:v>1.3408024615384615</c:v>
                </c:pt>
                <c:pt idx="31">
                  <c:v>1.2829186813186786</c:v>
                </c:pt>
                <c:pt idx="32">
                  <c:v>1.2244385054945026</c:v>
                </c:pt>
                <c:pt idx="33">
                  <c:v>1.1653619340659311</c:v>
                </c:pt>
                <c:pt idx="34">
                  <c:v>1.1056889670329642</c:v>
                </c:pt>
                <c:pt idx="35">
                  <c:v>1.0454196043956014</c:v>
                </c:pt>
                <c:pt idx="36">
                  <c:v>0.98455384615384289</c:v>
                </c:pt>
                <c:pt idx="37">
                  <c:v>0.92309169230768928</c:v>
                </c:pt>
                <c:pt idx="38">
                  <c:v>0.86103314285713972</c:v>
                </c:pt>
                <c:pt idx="39">
                  <c:v>0.79837819780219466</c:v>
                </c:pt>
                <c:pt idx="40">
                  <c:v>0.73512685714285386</c:v>
                </c:pt>
                <c:pt idx="41">
                  <c:v>0.67127912087911767</c:v>
                </c:pt>
                <c:pt idx="42">
                  <c:v>0.60683498901098565</c:v>
                </c:pt>
                <c:pt idx="43">
                  <c:v>0.54179446153845823</c:v>
                </c:pt>
                <c:pt idx="44">
                  <c:v>0.47615753846153508</c:v>
                </c:pt>
                <c:pt idx="45">
                  <c:v>0.40992421978021643</c:v>
                </c:pt>
                <c:pt idx="46">
                  <c:v>0.3430945054945021</c:v>
                </c:pt>
                <c:pt idx="47">
                  <c:v>0.27566839560439221</c:v>
                </c:pt>
                <c:pt idx="48">
                  <c:v>0.20764589010988635</c:v>
                </c:pt>
                <c:pt idx="49">
                  <c:v>0.13902698901098556</c:v>
                </c:pt>
                <c:pt idx="50">
                  <c:v>6.9811692307688827E-2</c:v>
                </c:pt>
                <c:pt idx="51">
                  <c:v>0</c:v>
                </c:pt>
              </c:numCache>
            </c:numRef>
          </c:yVal>
          <c:smooth val="0"/>
          <c:extLst>
            <c:ext xmlns:c16="http://schemas.microsoft.com/office/drawing/2014/chart" uri="{C3380CC4-5D6E-409C-BE32-E72D297353CC}">
              <c16:uniqueId val="{00000001-6698-4A53-838E-1C575D43A568}"/>
            </c:ext>
          </c:extLst>
        </c:ser>
        <c:ser>
          <c:idx val="2"/>
          <c:order val="2"/>
          <c:tx>
            <c:strRef>
              <c:f>Data!$AN$141</c:f>
              <c:strCache>
                <c:ptCount val="1"/>
                <c:pt idx="0">
                  <c:v>Working point (Mean rpm, T RMS)</c:v>
                </c:pt>
              </c:strCache>
            </c:strRef>
          </c:tx>
          <c:spPr>
            <a:ln>
              <a:noFill/>
            </a:ln>
          </c:spPr>
          <c:marker>
            <c:symbol val="diamond"/>
            <c:size val="6"/>
            <c:spPr>
              <a:solidFill>
                <a:schemeClr val="tx1"/>
              </a:solidFill>
              <a:ln>
                <a:noFill/>
              </a:ln>
            </c:spPr>
          </c:marker>
          <c:xVal>
            <c:numRef>
              <c:f>Data!$AO$140</c:f>
              <c:numCache>
                <c:formatCode>0</c:formatCode>
                <c:ptCount val="1"/>
                <c:pt idx="0">
                  <c:v>0.10169663892608348</c:v>
                </c:pt>
              </c:numCache>
            </c:numRef>
          </c:xVal>
          <c:yVal>
            <c:numRef>
              <c:f>Data!$AN$140</c:f>
              <c:numCache>
                <c:formatCode>0.00</c:formatCode>
                <c:ptCount val="1"/>
                <c:pt idx="0">
                  <c:v>2.6394005504473489E-2</c:v>
                </c:pt>
              </c:numCache>
            </c:numRef>
          </c:yVal>
          <c:smooth val="0"/>
          <c:extLst>
            <c:ext xmlns:c16="http://schemas.microsoft.com/office/drawing/2014/chart" uri="{C3380CC4-5D6E-409C-BE32-E72D297353CC}">
              <c16:uniqueId val="{00000002-6698-4A53-838E-1C575D43A568}"/>
            </c:ext>
          </c:extLst>
        </c:ser>
        <c:dLbls>
          <c:showLegendKey val="0"/>
          <c:showVal val="0"/>
          <c:showCatName val="0"/>
          <c:showSerName val="0"/>
          <c:showPercent val="0"/>
          <c:showBubbleSize val="0"/>
        </c:dLbls>
        <c:axId val="338460672"/>
        <c:axId val="338462976"/>
      </c:scatterChart>
      <c:valAx>
        <c:axId val="338460672"/>
        <c:scaling>
          <c:orientation val="minMax"/>
          <c:min val="0"/>
        </c:scaling>
        <c:delete val="0"/>
        <c:axPos val="b"/>
        <c:title>
          <c:tx>
            <c:strRef>
              <c:f>Data!$AL$143</c:f>
              <c:strCache>
                <c:ptCount val="1"/>
                <c:pt idx="0">
                  <c:v>Speed [rpm]</c:v>
                </c:pt>
              </c:strCache>
            </c:strRef>
          </c:tx>
          <c:layout>
            <c:manualLayout>
              <c:xMode val="edge"/>
              <c:yMode val="edge"/>
              <c:x val="0.43865781138942334"/>
              <c:y val="0.82715848647612467"/>
            </c:manualLayout>
          </c:layout>
          <c:overlay val="0"/>
          <c:txPr>
            <a:bodyPr/>
            <a:lstStyle/>
            <a:p>
              <a:pPr>
                <a:defRPr/>
              </a:pPr>
              <a:endParaRPr lang="sv-SE"/>
            </a:p>
          </c:txPr>
        </c:title>
        <c:numFmt formatCode="General" sourceLinked="1"/>
        <c:majorTickMark val="out"/>
        <c:minorTickMark val="none"/>
        <c:tickLblPos val="nextTo"/>
        <c:spPr>
          <a:ln/>
        </c:spPr>
        <c:crossAx val="338462976"/>
        <c:crosses val="autoZero"/>
        <c:crossBetween val="midCat"/>
      </c:valAx>
      <c:valAx>
        <c:axId val="338462976"/>
        <c:scaling>
          <c:orientation val="minMax"/>
        </c:scaling>
        <c:delete val="0"/>
        <c:axPos val="l"/>
        <c:majorGridlines/>
        <c:title>
          <c:tx>
            <c:strRef>
              <c:f>Data!$AL$144</c:f>
              <c:strCache>
                <c:ptCount val="1"/>
                <c:pt idx="0">
                  <c:v>Torque [Nm]</c:v>
                </c:pt>
              </c:strCache>
            </c:strRef>
          </c:tx>
          <c:overlay val="0"/>
          <c:txPr>
            <a:bodyPr/>
            <a:lstStyle/>
            <a:p>
              <a:pPr>
                <a:defRPr/>
              </a:pPr>
              <a:endParaRPr lang="sv-SE"/>
            </a:p>
          </c:txPr>
        </c:title>
        <c:numFmt formatCode="General" sourceLinked="1"/>
        <c:majorTickMark val="out"/>
        <c:minorTickMark val="none"/>
        <c:tickLblPos val="nextTo"/>
        <c:spPr>
          <a:ln/>
        </c:spPr>
        <c:crossAx val="338460672"/>
        <c:crosses val="autoZero"/>
        <c:crossBetween val="midCat"/>
      </c:valAx>
    </c:plotArea>
    <c:legend>
      <c:legendPos val="r"/>
      <c:layout>
        <c:manualLayout>
          <c:xMode val="edge"/>
          <c:yMode val="edge"/>
          <c:x val="0"/>
          <c:y val="0.90644397465514559"/>
          <c:w val="1"/>
          <c:h val="7.6356276094067449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v>
            </c:pt>
          </c:strCache>
        </c:strRef>
      </c:tx>
      <c:layout>
        <c:manualLayout>
          <c:xMode val="edge"/>
          <c:yMode val="edge"/>
          <c:x val="2.0194444444444445E-2"/>
          <c:y val="4.1666666666666664E-2"/>
        </c:manualLayout>
      </c:layout>
      <c:overlay val="0"/>
    </c:title>
    <c:autoTitleDeleted val="0"/>
    <c:plotArea>
      <c:layout/>
      <c:scatterChart>
        <c:scatterStyle val="lineMarker"/>
        <c:varyColors val="0"/>
        <c:ser>
          <c:idx val="0"/>
          <c:order val="0"/>
          <c:tx>
            <c:strRef>
              <c:f>Data!$AA$147</c:f>
              <c:strCache>
                <c:ptCount val="1"/>
                <c:pt idx="0">
                  <c:v>Continuous drive</c:v>
                </c:pt>
              </c:strCache>
            </c:strRef>
          </c:tx>
          <c:spPr>
            <a:ln w="19050">
              <a:solidFill>
                <a:schemeClr val="accent1"/>
              </a:solidFill>
            </a:ln>
          </c:spPr>
          <c:marker>
            <c:symbol val="none"/>
          </c:marker>
          <c:xVal>
            <c:numRef>
              <c:f>Data!$AA$149:$AA$200</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xVal>
          <c:yVal>
            <c:numRef>
              <c:f>Data!$U$149:$U$200</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yVal>
          <c:smooth val="0"/>
          <c:extLst>
            <c:ext xmlns:c16="http://schemas.microsoft.com/office/drawing/2014/chart" uri="{C3380CC4-5D6E-409C-BE32-E72D297353CC}">
              <c16:uniqueId val="{00000000-4CAC-4510-9EBA-C800EBB6CF87}"/>
            </c:ext>
          </c:extLst>
        </c:ser>
        <c:ser>
          <c:idx val="1"/>
          <c:order val="1"/>
          <c:tx>
            <c:strRef>
              <c:f>Data!$AS$151</c:f>
              <c:strCache>
                <c:ptCount val="1"/>
                <c:pt idx="0">
                  <c:v>2,594068396</c:v>
                </c:pt>
              </c:strCache>
            </c:strRef>
          </c:tx>
          <c:spPr>
            <a:ln w="22225">
              <a:solidFill>
                <a:schemeClr val="accent2"/>
              </a:solidFill>
            </a:ln>
          </c:spPr>
          <c:marker>
            <c:symbol val="none"/>
          </c:marker>
          <c:xVal>
            <c:numRef>
              <c:f>Data!$AS$153:$AS$204</c:f>
              <c:numCache>
                <c:formatCode>General</c:formatCode>
                <c:ptCount val="52"/>
                <c:pt idx="0">
                  <c:v>2.5075242197802194</c:v>
                </c:pt>
                <c:pt idx="1">
                  <c:v>2.4633575384615383</c:v>
                </c:pt>
                <c:pt idx="2">
                  <c:v>2.4185944615384618</c:v>
                </c:pt>
                <c:pt idx="3">
                  <c:v>2.3732349890109892</c:v>
                </c:pt>
                <c:pt idx="4">
                  <c:v>2.3272791208791213</c:v>
                </c:pt>
                <c:pt idx="5">
                  <c:v>2.2807268571428576</c:v>
                </c:pt>
                <c:pt idx="6">
                  <c:v>2.2335781978021974</c:v>
                </c:pt>
                <c:pt idx="7">
                  <c:v>2.1858331428571427</c:v>
                </c:pt>
                <c:pt idx="8">
                  <c:v>2.1374916923076923</c:v>
                </c:pt>
                <c:pt idx="9">
                  <c:v>2.0885538461538462</c:v>
                </c:pt>
                <c:pt idx="10">
                  <c:v>2.0390196043956044</c:v>
                </c:pt>
                <c:pt idx="11">
                  <c:v>1.9888889670329672</c:v>
                </c:pt>
                <c:pt idx="12">
                  <c:v>1.938161934065934</c:v>
                </c:pt>
                <c:pt idx="13">
                  <c:v>1.8868385054945054</c:v>
                </c:pt>
                <c:pt idx="14">
                  <c:v>1.8349186813186811</c:v>
                </c:pt>
                <c:pt idx="15">
                  <c:v>1.7824024615384615</c:v>
                </c:pt>
                <c:pt idx="16">
                  <c:v>1.7292898461538462</c:v>
                </c:pt>
                <c:pt idx="17">
                  <c:v>1.6755808351648354</c:v>
                </c:pt>
                <c:pt idx="18">
                  <c:v>1.6212754285714288</c:v>
                </c:pt>
                <c:pt idx="19">
                  <c:v>1.5663736263736265</c:v>
                </c:pt>
                <c:pt idx="20">
                  <c:v>1.5108754285714285</c:v>
                </c:pt>
                <c:pt idx="21">
                  <c:v>1.4547808351648353</c:v>
                </c:pt>
                <c:pt idx="22">
                  <c:v>1.398089846153846</c:v>
                </c:pt>
                <c:pt idx="23">
                  <c:v>1.3408024615384615</c:v>
                </c:pt>
                <c:pt idx="24">
                  <c:v>1.2829186813186786</c:v>
                </c:pt>
                <c:pt idx="25">
                  <c:v>1.2244385054945026</c:v>
                </c:pt>
                <c:pt idx="26">
                  <c:v>1.1653619340659311</c:v>
                </c:pt>
                <c:pt idx="27">
                  <c:v>1.1056889670329642</c:v>
                </c:pt>
                <c:pt idx="28">
                  <c:v>1.0454196043956014</c:v>
                </c:pt>
                <c:pt idx="29">
                  <c:v>0.98455384615384289</c:v>
                </c:pt>
                <c:pt idx="30">
                  <c:v>0.92309169230768928</c:v>
                </c:pt>
                <c:pt idx="31">
                  <c:v>0.86103314285713972</c:v>
                </c:pt>
                <c:pt idx="32">
                  <c:v>0.79837819780219466</c:v>
                </c:pt>
                <c:pt idx="33">
                  <c:v>0.73512685714285386</c:v>
                </c:pt>
                <c:pt idx="34">
                  <c:v>0.67127912087911767</c:v>
                </c:pt>
                <c:pt idx="35">
                  <c:v>0.60683498901098565</c:v>
                </c:pt>
                <c:pt idx="36">
                  <c:v>0.54179446153845823</c:v>
                </c:pt>
                <c:pt idx="37">
                  <c:v>0.47615753846153508</c:v>
                </c:pt>
                <c:pt idx="38">
                  <c:v>0.40992421978021643</c:v>
                </c:pt>
                <c:pt idx="39">
                  <c:v>0.3430945054945021</c:v>
                </c:pt>
                <c:pt idx="40">
                  <c:v>0.27566839560439221</c:v>
                </c:pt>
                <c:pt idx="41">
                  <c:v>0.20764589010988635</c:v>
                </c:pt>
                <c:pt idx="42">
                  <c:v>0.13902698901098556</c:v>
                </c:pt>
                <c:pt idx="43">
                  <c:v>6.9811692307688827E-2</c:v>
                </c:pt>
                <c:pt idx="44">
                  <c:v>0</c:v>
                </c:pt>
              </c:numCache>
            </c:numRef>
          </c:xVal>
          <c:yVal>
            <c:numRef>
              <c:f>Data!$W$149:$W$200</c:f>
              <c:numCache>
                <c:formatCode>0</c:formatCode>
                <c:ptCount val="52"/>
                <c:pt idx="0">
                  <c:v>0</c:v>
                </c:pt>
                <c:pt idx="1">
                  <c:v>858.06666666666661</c:v>
                </c:pt>
                <c:pt idx="2">
                  <c:v>870.8</c:v>
                </c:pt>
                <c:pt idx="3">
                  <c:v>883.7833333333333</c:v>
                </c:pt>
                <c:pt idx="4">
                  <c:v>897.01666666666665</c:v>
                </c:pt>
                <c:pt idx="5">
                  <c:v>910.51666666666677</c:v>
                </c:pt>
                <c:pt idx="6">
                  <c:v>924.2833333333333</c:v>
                </c:pt>
                <c:pt idx="7">
                  <c:v>938.33333333333326</c:v>
                </c:pt>
                <c:pt idx="8">
                  <c:v>952.63333333333333</c:v>
                </c:pt>
                <c:pt idx="9">
                  <c:v>967.2166666666667</c:v>
                </c:pt>
                <c:pt idx="10">
                  <c:v>982.06666666666661</c:v>
                </c:pt>
                <c:pt idx="11">
                  <c:v>997.2</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numCache>
            </c:numRef>
          </c:yVal>
          <c:smooth val="0"/>
          <c:extLst>
            <c:ext xmlns:c16="http://schemas.microsoft.com/office/drawing/2014/chart" uri="{C3380CC4-5D6E-409C-BE32-E72D297353CC}">
              <c16:uniqueId val="{00000001-4CAC-4510-9EBA-C800EBB6CF87}"/>
            </c:ext>
          </c:extLst>
        </c:ser>
        <c:dLbls>
          <c:showLegendKey val="0"/>
          <c:showVal val="0"/>
          <c:showCatName val="0"/>
          <c:showSerName val="0"/>
          <c:showPercent val="0"/>
          <c:showBubbleSize val="0"/>
        </c:dLbls>
        <c:axId val="343681664"/>
        <c:axId val="343692032"/>
      </c:scatterChart>
      <c:valAx>
        <c:axId val="343681664"/>
        <c:scaling>
          <c:orientation val="minMax"/>
        </c:scaling>
        <c:delete val="0"/>
        <c:axPos val="b"/>
        <c:title>
          <c:tx>
            <c:rich>
              <a:bodyPr/>
              <a:lstStyle/>
              <a:p>
                <a:pPr>
                  <a:defRPr/>
                </a:pPr>
                <a:r>
                  <a:rPr lang="sv-SE"/>
                  <a:t>Load Fx (N)</a:t>
                </a:r>
              </a:p>
            </c:rich>
          </c:tx>
          <c:overlay val="0"/>
        </c:title>
        <c:numFmt formatCode="General" sourceLinked="1"/>
        <c:majorTickMark val="out"/>
        <c:minorTickMark val="none"/>
        <c:tickLblPos val="nextTo"/>
        <c:crossAx val="343692032"/>
        <c:crosses val="autoZero"/>
        <c:crossBetween val="midCat"/>
      </c:valAx>
      <c:valAx>
        <c:axId val="343692032"/>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6816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PC25+ </a:t>
            </a:r>
          </a:p>
        </c:rich>
      </c:tx>
      <c:layout>
        <c:manualLayout>
          <c:xMode val="edge"/>
          <c:yMode val="edge"/>
          <c:x val="0.23834714503332466"/>
          <c:y val="2.1595333454276503E-2"/>
        </c:manualLayout>
      </c:layout>
      <c:overlay val="0"/>
    </c:title>
    <c:autoTitleDeleted val="0"/>
    <c:plotArea>
      <c:layout/>
      <c:scatterChart>
        <c:scatterStyle val="lineMarker"/>
        <c:varyColors val="0"/>
        <c:ser>
          <c:idx val="0"/>
          <c:order val="0"/>
          <c:tx>
            <c:v>Lead 10 mm</c:v>
          </c:tx>
          <c:marker>
            <c:symbol val="none"/>
          </c:marker>
          <c:xVal>
            <c:numRef>
              <c:f>'PC25 Graphs'!$C$6:$C$57</c:f>
              <c:numCache>
                <c:formatCode>General</c:formatCode>
                <c:ptCount val="52"/>
                <c:pt idx="0">
                  <c:v>318</c:v>
                </c:pt>
                <c:pt idx="1">
                  <c:v>313</c:v>
                </c:pt>
                <c:pt idx="2">
                  <c:v>309</c:v>
                </c:pt>
                <c:pt idx="3">
                  <c:v>304</c:v>
                </c:pt>
                <c:pt idx="4">
                  <c:v>300</c:v>
                </c:pt>
                <c:pt idx="5">
                  <c:v>295</c:v>
                </c:pt>
                <c:pt idx="6">
                  <c:v>291</c:v>
                </c:pt>
                <c:pt idx="7">
                  <c:v>287</c:v>
                </c:pt>
                <c:pt idx="8">
                  <c:v>283</c:v>
                </c:pt>
                <c:pt idx="9">
                  <c:v>278</c:v>
                </c:pt>
                <c:pt idx="10">
                  <c:v>274</c:v>
                </c:pt>
                <c:pt idx="11">
                  <c:v>270</c:v>
                </c:pt>
                <c:pt idx="12">
                  <c:v>266</c:v>
                </c:pt>
                <c:pt idx="13">
                  <c:v>262</c:v>
                </c:pt>
                <c:pt idx="14">
                  <c:v>258</c:v>
                </c:pt>
                <c:pt idx="15">
                  <c:v>253</c:v>
                </c:pt>
                <c:pt idx="16">
                  <c:v>249</c:v>
                </c:pt>
                <c:pt idx="17">
                  <c:v>245</c:v>
                </c:pt>
                <c:pt idx="18">
                  <c:v>241</c:v>
                </c:pt>
                <c:pt idx="19">
                  <c:v>237</c:v>
                </c:pt>
                <c:pt idx="20">
                  <c:v>232</c:v>
                </c:pt>
                <c:pt idx="21">
                  <c:v>228</c:v>
                </c:pt>
                <c:pt idx="22">
                  <c:v>224</c:v>
                </c:pt>
                <c:pt idx="23">
                  <c:v>219</c:v>
                </c:pt>
                <c:pt idx="24">
                  <c:v>214</c:v>
                </c:pt>
                <c:pt idx="25">
                  <c:v>209</c:v>
                </c:pt>
                <c:pt idx="26">
                  <c:v>204</c:v>
                </c:pt>
                <c:pt idx="27">
                  <c:v>200</c:v>
                </c:pt>
                <c:pt idx="28">
                  <c:v>195</c:v>
                </c:pt>
                <c:pt idx="29">
                  <c:v>190</c:v>
                </c:pt>
                <c:pt idx="30">
                  <c:v>185</c:v>
                </c:pt>
                <c:pt idx="31">
                  <c:v>180</c:v>
                </c:pt>
                <c:pt idx="32">
                  <c:v>176</c:v>
                </c:pt>
                <c:pt idx="33">
                  <c:v>171</c:v>
                </c:pt>
                <c:pt idx="34">
                  <c:v>166</c:v>
                </c:pt>
                <c:pt idx="35">
                  <c:v>161</c:v>
                </c:pt>
                <c:pt idx="36">
                  <c:v>157</c:v>
                </c:pt>
                <c:pt idx="37">
                  <c:v>152</c:v>
                </c:pt>
                <c:pt idx="38">
                  <c:v>147</c:v>
                </c:pt>
                <c:pt idx="39">
                  <c:v>142</c:v>
                </c:pt>
                <c:pt idx="40">
                  <c:v>137</c:v>
                </c:pt>
                <c:pt idx="41">
                  <c:v>133</c:v>
                </c:pt>
                <c:pt idx="42">
                  <c:v>128</c:v>
                </c:pt>
                <c:pt idx="43">
                  <c:v>123</c:v>
                </c:pt>
                <c:pt idx="44">
                  <c:v>118</c:v>
                </c:pt>
                <c:pt idx="45">
                  <c:v>113</c:v>
                </c:pt>
                <c:pt idx="46">
                  <c:v>109</c:v>
                </c:pt>
                <c:pt idx="47">
                  <c:v>104</c:v>
                </c:pt>
                <c:pt idx="48">
                  <c:v>99</c:v>
                </c:pt>
                <c:pt idx="49">
                  <c:v>94</c:v>
                </c:pt>
                <c:pt idx="50">
                  <c:v>90</c:v>
                </c:pt>
                <c:pt idx="51">
                  <c:v>0</c:v>
                </c:pt>
              </c:numCache>
            </c:numRef>
          </c:xVal>
          <c:yVal>
            <c:numRef>
              <c:f>'PC25 Graphs'!$B$6:$B$57</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1013.3333333333333</c:v>
                </c:pt>
                <c:pt idx="39">
                  <c:v>1040</c:v>
                </c:pt>
                <c:pt idx="40">
                  <c:v>1066.6666666666667</c:v>
                </c:pt>
                <c:pt idx="41">
                  <c:v>1093.3333333333333</c:v>
                </c:pt>
                <c:pt idx="42">
                  <c:v>1120</c:v>
                </c:pt>
                <c:pt idx="43">
                  <c:v>1146.6666666666667</c:v>
                </c:pt>
                <c:pt idx="44">
                  <c:v>1173.3333333333333</c:v>
                </c:pt>
                <c:pt idx="45">
                  <c:v>1200</c:v>
                </c:pt>
                <c:pt idx="46">
                  <c:v>1226.6666666666667</c:v>
                </c:pt>
                <c:pt idx="47">
                  <c:v>1253.3333333333333</c:v>
                </c:pt>
                <c:pt idx="48">
                  <c:v>1280</c:v>
                </c:pt>
                <c:pt idx="49">
                  <c:v>1306.6666666666665</c:v>
                </c:pt>
                <c:pt idx="50">
                  <c:v>1306.6666666666665</c:v>
                </c:pt>
                <c:pt idx="51">
                  <c:v>1306.6666666666665</c:v>
                </c:pt>
              </c:numCache>
            </c:numRef>
          </c:yVal>
          <c:smooth val="0"/>
          <c:extLst>
            <c:ext xmlns:c16="http://schemas.microsoft.com/office/drawing/2014/chart" uri="{C3380CC4-5D6E-409C-BE32-E72D297353CC}">
              <c16:uniqueId val="{00000000-AE2E-41DE-B810-9C4F76222122}"/>
            </c:ext>
          </c:extLst>
        </c:ser>
        <c:ser>
          <c:idx val="1"/>
          <c:order val="1"/>
          <c:tx>
            <c:v>Lead 3 mm</c:v>
          </c:tx>
          <c:marker>
            <c:symbol val="none"/>
          </c:marker>
          <c:xVal>
            <c:numRef>
              <c:f>'PC25 Graphs'!$E$6:$E$57</c:f>
              <c:numCache>
                <c:formatCode>General</c:formatCode>
                <c:ptCount val="52"/>
                <c:pt idx="0">
                  <c:v>1228</c:v>
                </c:pt>
                <c:pt idx="1">
                  <c:v>1219</c:v>
                </c:pt>
                <c:pt idx="2">
                  <c:v>1211</c:v>
                </c:pt>
                <c:pt idx="3">
                  <c:v>1203</c:v>
                </c:pt>
                <c:pt idx="4">
                  <c:v>1195</c:v>
                </c:pt>
                <c:pt idx="5">
                  <c:v>1187</c:v>
                </c:pt>
                <c:pt idx="6">
                  <c:v>1179</c:v>
                </c:pt>
                <c:pt idx="7">
                  <c:v>1171</c:v>
                </c:pt>
                <c:pt idx="8">
                  <c:v>1164</c:v>
                </c:pt>
                <c:pt idx="9">
                  <c:v>1157</c:v>
                </c:pt>
                <c:pt idx="10">
                  <c:v>1150</c:v>
                </c:pt>
                <c:pt idx="11">
                  <c:v>1143</c:v>
                </c:pt>
                <c:pt idx="12">
                  <c:v>1135</c:v>
                </c:pt>
                <c:pt idx="13">
                  <c:v>1128</c:v>
                </c:pt>
                <c:pt idx="14">
                  <c:v>1121</c:v>
                </c:pt>
                <c:pt idx="15">
                  <c:v>1114</c:v>
                </c:pt>
                <c:pt idx="16">
                  <c:v>1106</c:v>
                </c:pt>
                <c:pt idx="17">
                  <c:v>1099</c:v>
                </c:pt>
                <c:pt idx="18">
                  <c:v>1092</c:v>
                </c:pt>
                <c:pt idx="19">
                  <c:v>1085</c:v>
                </c:pt>
                <c:pt idx="20">
                  <c:v>1078</c:v>
                </c:pt>
                <c:pt idx="21">
                  <c:v>1070</c:v>
                </c:pt>
                <c:pt idx="22">
                  <c:v>1061</c:v>
                </c:pt>
                <c:pt idx="23">
                  <c:v>1052</c:v>
                </c:pt>
                <c:pt idx="24">
                  <c:v>1043</c:v>
                </c:pt>
                <c:pt idx="25">
                  <c:v>1033</c:v>
                </c:pt>
                <c:pt idx="26">
                  <c:v>1024</c:v>
                </c:pt>
                <c:pt idx="27">
                  <c:v>1015</c:v>
                </c:pt>
                <c:pt idx="28">
                  <c:v>1006</c:v>
                </c:pt>
                <c:pt idx="29">
                  <c:v>996</c:v>
                </c:pt>
                <c:pt idx="30">
                  <c:v>987</c:v>
                </c:pt>
                <c:pt idx="31">
                  <c:v>978</c:v>
                </c:pt>
                <c:pt idx="32">
                  <c:v>969</c:v>
                </c:pt>
                <c:pt idx="33">
                  <c:v>959</c:v>
                </c:pt>
                <c:pt idx="34">
                  <c:v>950</c:v>
                </c:pt>
                <c:pt idx="35">
                  <c:v>941</c:v>
                </c:pt>
                <c:pt idx="36">
                  <c:v>932</c:v>
                </c:pt>
                <c:pt idx="37">
                  <c:v>922</c:v>
                </c:pt>
                <c:pt idx="38">
                  <c:v>913</c:v>
                </c:pt>
                <c:pt idx="39">
                  <c:v>904</c:v>
                </c:pt>
                <c:pt idx="40">
                  <c:v>895</c:v>
                </c:pt>
                <c:pt idx="41">
                  <c:v>885</c:v>
                </c:pt>
                <c:pt idx="42">
                  <c:v>876</c:v>
                </c:pt>
                <c:pt idx="43">
                  <c:v>867</c:v>
                </c:pt>
                <c:pt idx="44">
                  <c:v>858</c:v>
                </c:pt>
                <c:pt idx="45">
                  <c:v>848</c:v>
                </c:pt>
                <c:pt idx="46">
                  <c:v>839</c:v>
                </c:pt>
                <c:pt idx="47">
                  <c:v>830</c:v>
                </c:pt>
                <c:pt idx="48">
                  <c:v>821</c:v>
                </c:pt>
                <c:pt idx="49">
                  <c:v>811</c:v>
                </c:pt>
                <c:pt idx="50">
                  <c:v>804</c:v>
                </c:pt>
                <c:pt idx="51">
                  <c:v>0</c:v>
                </c:pt>
              </c:numCache>
            </c:numRef>
          </c:xVal>
          <c:yVal>
            <c:numRef>
              <c:f>'PC25 Graphs'!$D$6:$D$57</c:f>
              <c:numCache>
                <c:formatCode>0</c:formatCode>
                <c:ptCount val="52"/>
                <c:pt idx="0" formatCode="General">
                  <c:v>0</c:v>
                </c:pt>
                <c:pt idx="1">
                  <c:v>8</c:v>
                </c:pt>
                <c:pt idx="2">
                  <c:v>16</c:v>
                </c:pt>
                <c:pt idx="3">
                  <c:v>24</c:v>
                </c:pt>
                <c:pt idx="4">
                  <c:v>32</c:v>
                </c:pt>
                <c:pt idx="5">
                  <c:v>40</c:v>
                </c:pt>
                <c:pt idx="6">
                  <c:v>48</c:v>
                </c:pt>
                <c:pt idx="7">
                  <c:v>56</c:v>
                </c:pt>
                <c:pt idx="8">
                  <c:v>64</c:v>
                </c:pt>
                <c:pt idx="9">
                  <c:v>72</c:v>
                </c:pt>
                <c:pt idx="10">
                  <c:v>80</c:v>
                </c:pt>
                <c:pt idx="11">
                  <c:v>88</c:v>
                </c:pt>
                <c:pt idx="12">
                  <c:v>96</c:v>
                </c:pt>
                <c:pt idx="13">
                  <c:v>104</c:v>
                </c:pt>
                <c:pt idx="14">
                  <c:v>112</c:v>
                </c:pt>
                <c:pt idx="15">
                  <c:v>120</c:v>
                </c:pt>
                <c:pt idx="16">
                  <c:v>128</c:v>
                </c:pt>
                <c:pt idx="17">
                  <c:v>136</c:v>
                </c:pt>
                <c:pt idx="18">
                  <c:v>144</c:v>
                </c:pt>
                <c:pt idx="19">
                  <c:v>152</c:v>
                </c:pt>
                <c:pt idx="20">
                  <c:v>160</c:v>
                </c:pt>
                <c:pt idx="21">
                  <c:v>168</c:v>
                </c:pt>
                <c:pt idx="22">
                  <c:v>176</c:v>
                </c:pt>
                <c:pt idx="23">
                  <c:v>184</c:v>
                </c:pt>
                <c:pt idx="24">
                  <c:v>192</c:v>
                </c:pt>
                <c:pt idx="25">
                  <c:v>200</c:v>
                </c:pt>
                <c:pt idx="26">
                  <c:v>208</c:v>
                </c:pt>
                <c:pt idx="27">
                  <c:v>216</c:v>
                </c:pt>
                <c:pt idx="28">
                  <c:v>224</c:v>
                </c:pt>
                <c:pt idx="29">
                  <c:v>232</c:v>
                </c:pt>
                <c:pt idx="30">
                  <c:v>240</c:v>
                </c:pt>
                <c:pt idx="31">
                  <c:v>248</c:v>
                </c:pt>
                <c:pt idx="32">
                  <c:v>256</c:v>
                </c:pt>
                <c:pt idx="33">
                  <c:v>264</c:v>
                </c:pt>
                <c:pt idx="34">
                  <c:v>272</c:v>
                </c:pt>
                <c:pt idx="35">
                  <c:v>280</c:v>
                </c:pt>
                <c:pt idx="36">
                  <c:v>288</c:v>
                </c:pt>
                <c:pt idx="37">
                  <c:v>296</c:v>
                </c:pt>
                <c:pt idx="38">
                  <c:v>304</c:v>
                </c:pt>
                <c:pt idx="39">
                  <c:v>312</c:v>
                </c:pt>
                <c:pt idx="40">
                  <c:v>320</c:v>
                </c:pt>
                <c:pt idx="41">
                  <c:v>328</c:v>
                </c:pt>
                <c:pt idx="42">
                  <c:v>336</c:v>
                </c:pt>
                <c:pt idx="43">
                  <c:v>344</c:v>
                </c:pt>
                <c:pt idx="44">
                  <c:v>352</c:v>
                </c:pt>
                <c:pt idx="45">
                  <c:v>360</c:v>
                </c:pt>
                <c:pt idx="46">
                  <c:v>368</c:v>
                </c:pt>
                <c:pt idx="47">
                  <c:v>376</c:v>
                </c:pt>
                <c:pt idx="48">
                  <c:v>384</c:v>
                </c:pt>
                <c:pt idx="49">
                  <c:v>392</c:v>
                </c:pt>
                <c:pt idx="50">
                  <c:v>392</c:v>
                </c:pt>
                <c:pt idx="51">
                  <c:v>392</c:v>
                </c:pt>
              </c:numCache>
            </c:numRef>
          </c:yVal>
          <c:smooth val="0"/>
          <c:extLst>
            <c:ext xmlns:c16="http://schemas.microsoft.com/office/drawing/2014/chart" uri="{C3380CC4-5D6E-409C-BE32-E72D297353CC}">
              <c16:uniqueId val="{00000001-AE2E-41DE-B810-9C4F76222122}"/>
            </c:ext>
          </c:extLst>
        </c:ser>
        <c:dLbls>
          <c:showLegendKey val="0"/>
          <c:showVal val="0"/>
          <c:showCatName val="0"/>
          <c:showSerName val="0"/>
          <c:showPercent val="0"/>
          <c:showBubbleSize val="0"/>
        </c:dLbls>
        <c:axId val="343387520"/>
        <c:axId val="343393792"/>
      </c:scatterChart>
      <c:valAx>
        <c:axId val="343387520"/>
        <c:scaling>
          <c:orientation val="minMax"/>
        </c:scaling>
        <c:delete val="0"/>
        <c:axPos val="b"/>
        <c:title>
          <c:tx>
            <c:rich>
              <a:bodyPr/>
              <a:lstStyle/>
              <a:p>
                <a:pPr>
                  <a:defRPr/>
                </a:pPr>
                <a:r>
                  <a:rPr lang="sv-SE"/>
                  <a:t>Load (N)</a:t>
                </a:r>
              </a:p>
            </c:rich>
          </c:tx>
          <c:overlay val="0"/>
        </c:title>
        <c:numFmt formatCode="General" sourceLinked="1"/>
        <c:majorTickMark val="out"/>
        <c:minorTickMark val="none"/>
        <c:tickLblPos val="nextTo"/>
        <c:crossAx val="343393792"/>
        <c:crosses val="autoZero"/>
        <c:crossBetween val="midCat"/>
      </c:valAx>
      <c:valAx>
        <c:axId val="343393792"/>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3875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v>
            </c:pt>
          </c:strCache>
        </c:strRef>
      </c:tx>
      <c:layout>
        <c:manualLayout>
          <c:xMode val="edge"/>
          <c:yMode val="edge"/>
          <c:x val="4.6877377475568173E-2"/>
          <c:y val="2.5712310854736978E-2"/>
        </c:manualLayout>
      </c:layout>
      <c:overlay val="0"/>
      <c:txPr>
        <a:bodyPr/>
        <a:lstStyle/>
        <a:p>
          <a:pPr>
            <a:defRPr sz="1200"/>
          </a:pPr>
          <a:endParaRPr lang="sv-SE"/>
        </a:p>
      </c:txPr>
    </c:title>
    <c:autoTitleDeleted val="0"/>
    <c:plotArea>
      <c:layout/>
      <c:scatterChart>
        <c:scatterStyle val="lineMarker"/>
        <c:varyColors val="0"/>
        <c:ser>
          <c:idx val="0"/>
          <c:order val="0"/>
          <c:tx>
            <c:strRef>
              <c:f>Data!$U$147</c:f>
              <c:strCache>
                <c:ptCount val="1"/>
                <c:pt idx="0">
                  <c:v>Continuous drive</c:v>
                </c:pt>
              </c:strCache>
            </c:strRef>
          </c:tx>
          <c:marker>
            <c:symbol val="none"/>
          </c:marker>
          <c:xVal>
            <c:numRef>
              <c:f>Data!$V$149:$V$200</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xVal>
          <c:yVal>
            <c:numRef>
              <c:f>Data!$U$149:$U$200</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yVal>
          <c:smooth val="0"/>
          <c:extLst>
            <c:ext xmlns:c16="http://schemas.microsoft.com/office/drawing/2014/chart" uri="{C3380CC4-5D6E-409C-BE32-E72D297353CC}">
              <c16:uniqueId val="{00000000-F960-4D37-86FC-C4CDAED54CBF}"/>
            </c:ext>
          </c:extLst>
        </c:ser>
        <c:ser>
          <c:idx val="1"/>
          <c:order val="1"/>
          <c:tx>
            <c:strRef>
              <c:f>Data!$W$147</c:f>
              <c:strCache>
                <c:ptCount val="1"/>
                <c:pt idx="0">
                  <c:v>Cyclic drive</c:v>
                </c:pt>
              </c:strCache>
            </c:strRef>
          </c:tx>
          <c:marker>
            <c:symbol val="none"/>
          </c:marker>
          <c:xVal>
            <c:numRef>
              <c:f>Data!$X$149:$X$200</c:f>
              <c:numCache>
                <c:formatCode>General</c:formatCode>
                <c:ptCount val="52"/>
                <c:pt idx="0">
                  <c:v>1158</c:v>
                </c:pt>
                <c:pt idx="1">
                  <c:v>1002</c:v>
                </c:pt>
                <c:pt idx="2">
                  <c:v>982</c:v>
                </c:pt>
                <c:pt idx="3">
                  <c:v>961</c:v>
                </c:pt>
                <c:pt idx="4">
                  <c:v>939</c:v>
                </c:pt>
                <c:pt idx="5">
                  <c:v>918</c:v>
                </c:pt>
                <c:pt idx="6">
                  <c:v>896</c:v>
                </c:pt>
                <c:pt idx="7">
                  <c:v>874</c:v>
                </c:pt>
                <c:pt idx="8">
                  <c:v>851</c:v>
                </c:pt>
                <c:pt idx="9">
                  <c:v>828</c:v>
                </c:pt>
                <c:pt idx="10">
                  <c:v>805</c:v>
                </c:pt>
                <c:pt idx="11">
                  <c:v>781</c:v>
                </c:pt>
                <c:pt idx="12">
                  <c:v>758</c:v>
                </c:pt>
                <c:pt idx="13">
                  <c:v>733</c:v>
                </c:pt>
                <c:pt idx="14">
                  <c:v>709</c:v>
                </c:pt>
                <c:pt idx="15">
                  <c:v>684</c:v>
                </c:pt>
                <c:pt idx="16">
                  <c:v>659</c:v>
                </c:pt>
                <c:pt idx="17">
                  <c:v>634</c:v>
                </c:pt>
                <c:pt idx="18">
                  <c:v>608</c:v>
                </c:pt>
                <c:pt idx="19">
                  <c:v>582</c:v>
                </c:pt>
                <c:pt idx="20">
                  <c:v>555</c:v>
                </c:pt>
                <c:pt idx="21">
                  <c:v>529</c:v>
                </c:pt>
                <c:pt idx="22">
                  <c:v>502</c:v>
                </c:pt>
                <c:pt idx="23">
                  <c:v>474</c:v>
                </c:pt>
                <c:pt idx="24">
                  <c:v>447</c:v>
                </c:pt>
                <c:pt idx="25">
                  <c:v>419</c:v>
                </c:pt>
                <c:pt idx="26">
                  <c:v>391</c:v>
                </c:pt>
                <c:pt idx="27">
                  <c:v>362</c:v>
                </c:pt>
                <c:pt idx="28">
                  <c:v>333</c:v>
                </c:pt>
                <c:pt idx="29">
                  <c:v>304</c:v>
                </c:pt>
                <c:pt idx="30">
                  <c:v>275</c:v>
                </c:pt>
                <c:pt idx="31">
                  <c:v>248</c:v>
                </c:pt>
                <c:pt idx="32">
                  <c:v>222</c:v>
                </c:pt>
                <c:pt idx="33">
                  <c:v>195</c:v>
                </c:pt>
                <c:pt idx="34">
                  <c:v>168</c:v>
                </c:pt>
                <c:pt idx="35">
                  <c:v>141</c:v>
                </c:pt>
                <c:pt idx="36">
                  <c:v>113</c:v>
                </c:pt>
                <c:pt idx="37">
                  <c:v>85</c:v>
                </c:pt>
                <c:pt idx="38">
                  <c:v>57</c:v>
                </c:pt>
                <c:pt idx="39">
                  <c:v>29</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Data!$W$149:$W$200</c:f>
              <c:numCache>
                <c:formatCode>0</c:formatCode>
                <c:ptCount val="52"/>
                <c:pt idx="0">
                  <c:v>0</c:v>
                </c:pt>
                <c:pt idx="1">
                  <c:v>858.06666666666661</c:v>
                </c:pt>
                <c:pt idx="2">
                  <c:v>870.8</c:v>
                </c:pt>
                <c:pt idx="3">
                  <c:v>883.7833333333333</c:v>
                </c:pt>
                <c:pt idx="4">
                  <c:v>897.01666666666665</c:v>
                </c:pt>
                <c:pt idx="5">
                  <c:v>910.51666666666677</c:v>
                </c:pt>
                <c:pt idx="6">
                  <c:v>924.2833333333333</c:v>
                </c:pt>
                <c:pt idx="7">
                  <c:v>938.33333333333326</c:v>
                </c:pt>
                <c:pt idx="8">
                  <c:v>952.63333333333333</c:v>
                </c:pt>
                <c:pt idx="9">
                  <c:v>967.2166666666667</c:v>
                </c:pt>
                <c:pt idx="10">
                  <c:v>982.06666666666661</c:v>
                </c:pt>
                <c:pt idx="11">
                  <c:v>997.2</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numCache>
            </c:numRef>
          </c:yVal>
          <c:smooth val="0"/>
          <c:extLst>
            <c:ext xmlns:c16="http://schemas.microsoft.com/office/drawing/2014/chart" uri="{C3380CC4-5D6E-409C-BE32-E72D297353CC}">
              <c16:uniqueId val="{00000001-F960-4D37-86FC-C4CDAED54CBF}"/>
            </c:ext>
          </c:extLst>
        </c:ser>
        <c:ser>
          <c:idx val="2"/>
          <c:order val="2"/>
          <c:tx>
            <c:v>Input values</c:v>
          </c:tx>
          <c:spPr>
            <a:ln>
              <a:noFill/>
            </a:ln>
          </c:spPr>
          <c:marker>
            <c:symbol val="diamond"/>
            <c:size val="5"/>
            <c:spPr>
              <a:solidFill>
                <a:schemeClr val="tx1"/>
              </a:solidFill>
              <a:ln>
                <a:solidFill>
                  <a:schemeClr val="tx1"/>
                </a:solidFill>
              </a:ln>
            </c:spPr>
          </c:marker>
          <c:xVal>
            <c:numRef>
              <c:f>Input!$C$14</c:f>
              <c:numCache>
                <c:formatCode>General</c:formatCode>
                <c:ptCount val="1"/>
                <c:pt idx="0">
                  <c:v>1</c:v>
                </c:pt>
              </c:numCache>
            </c:numRef>
          </c:xVal>
          <c:yVal>
            <c:numRef>
              <c:f>Input!$C$19</c:f>
              <c:numCache>
                <c:formatCode>General</c:formatCode>
                <c:ptCount val="1"/>
                <c:pt idx="0">
                  <c:v>1</c:v>
                </c:pt>
              </c:numCache>
            </c:numRef>
          </c:yVal>
          <c:smooth val="0"/>
          <c:extLst>
            <c:ext xmlns:c16="http://schemas.microsoft.com/office/drawing/2014/chart" uri="{C3380CC4-5D6E-409C-BE32-E72D297353CC}">
              <c16:uniqueId val="{00000002-F960-4D37-86FC-C4CDAED54CBF}"/>
            </c:ext>
          </c:extLst>
        </c:ser>
        <c:dLbls>
          <c:showLegendKey val="0"/>
          <c:showVal val="0"/>
          <c:showCatName val="0"/>
          <c:showSerName val="0"/>
          <c:showPercent val="0"/>
          <c:showBubbleSize val="0"/>
        </c:dLbls>
        <c:axId val="343441408"/>
        <c:axId val="343443712"/>
      </c:scatterChart>
      <c:valAx>
        <c:axId val="343441408"/>
        <c:scaling>
          <c:orientation val="minMax"/>
        </c:scaling>
        <c:delete val="0"/>
        <c:axPos val="b"/>
        <c:title>
          <c:tx>
            <c:rich>
              <a:bodyPr/>
              <a:lstStyle/>
              <a:p>
                <a:pPr>
                  <a:defRPr/>
                </a:pPr>
                <a:r>
                  <a:rPr lang="sv-SE"/>
                  <a:t>Load Fx (N)</a:t>
                </a:r>
              </a:p>
            </c:rich>
          </c:tx>
          <c:overlay val="0"/>
        </c:title>
        <c:numFmt formatCode="General" sourceLinked="1"/>
        <c:majorTickMark val="out"/>
        <c:minorTickMark val="none"/>
        <c:tickLblPos val="nextTo"/>
        <c:crossAx val="343443712"/>
        <c:crosses val="autoZero"/>
        <c:crossBetween val="midCat"/>
      </c:valAx>
      <c:valAx>
        <c:axId val="343443712"/>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441408"/>
        <c:crosses val="autoZero"/>
        <c:crossBetween val="midCat"/>
      </c:valAx>
    </c:plotArea>
    <c:legend>
      <c:legendPos val="r"/>
      <c:overlay val="0"/>
    </c:legend>
    <c:plotVisOnly val="1"/>
    <c:dispBlanksAs val="gap"/>
    <c:showDLblsOverMax val="0"/>
  </c:chart>
  <c:spPr>
    <a:noFill/>
    <a:ln w="19050">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mn-lt"/>
                <a:ea typeface="Arial"/>
                <a:cs typeface="Arial"/>
              </a:defRPr>
            </a:pPr>
            <a:r>
              <a:rPr lang="sv-SE" sz="1100">
                <a:latin typeface="+mn-lt"/>
              </a:rPr>
              <a:t>Move Profile</a:t>
            </a:r>
          </a:p>
        </c:rich>
      </c:tx>
      <c:layout>
        <c:manualLayout>
          <c:xMode val="edge"/>
          <c:yMode val="edge"/>
          <c:x val="0.35199590949852094"/>
          <c:y val="3.599883110421162E-2"/>
        </c:manualLayout>
      </c:layout>
      <c:overlay val="0"/>
      <c:spPr>
        <a:noFill/>
        <a:ln w="25400">
          <a:noFill/>
        </a:ln>
      </c:spPr>
    </c:title>
    <c:autoTitleDeleted val="0"/>
    <c:plotArea>
      <c:layout>
        <c:manualLayout>
          <c:layoutTarget val="inner"/>
          <c:xMode val="edge"/>
          <c:yMode val="edge"/>
          <c:x val="0.16988342301755902"/>
          <c:y val="0.14846161204067967"/>
          <c:w val="0.76973057776889819"/>
          <c:h val="0.66975096025842074"/>
        </c:manualLayout>
      </c:layout>
      <c:scatterChart>
        <c:scatterStyle val="lineMarker"/>
        <c:varyColors val="0"/>
        <c:ser>
          <c:idx val="0"/>
          <c:order val="0"/>
          <c:spPr>
            <a:ln w="22225">
              <a:solidFill>
                <a:schemeClr val="accent1"/>
              </a:solidFill>
              <a:prstDash val="solid"/>
            </a:ln>
          </c:spPr>
          <c:marker>
            <c:symbol val="none"/>
          </c:marker>
          <c:xVal>
            <c:numRef>
              <c:f>Data!$K$45:$N$45</c:f>
              <c:numCache>
                <c:formatCode>0.000</c:formatCode>
                <c:ptCount val="4"/>
                <c:pt idx="0" formatCode="General">
                  <c:v>0</c:v>
                </c:pt>
                <c:pt idx="1">
                  <c:v>5.0000000000000001E-4</c:v>
                </c:pt>
                <c:pt idx="2">
                  <c:v>0.99949999999999983</c:v>
                </c:pt>
                <c:pt idx="3" formatCode="General">
                  <c:v>1</c:v>
                </c:pt>
              </c:numCache>
            </c:numRef>
          </c:xVal>
          <c:yVal>
            <c:numRef>
              <c:f>Data!$K$46:$N$46</c:f>
              <c:numCache>
                <c:formatCode>General</c:formatCode>
                <c:ptCount val="4"/>
                <c:pt idx="0">
                  <c:v>0</c:v>
                </c:pt>
                <c:pt idx="1">
                  <c:v>1</c:v>
                </c:pt>
                <c:pt idx="2">
                  <c:v>1</c:v>
                </c:pt>
                <c:pt idx="3">
                  <c:v>0</c:v>
                </c:pt>
              </c:numCache>
            </c:numRef>
          </c:yVal>
          <c:smooth val="0"/>
          <c:extLst>
            <c:ext xmlns:c16="http://schemas.microsoft.com/office/drawing/2014/chart" uri="{C3380CC4-5D6E-409C-BE32-E72D297353CC}">
              <c16:uniqueId val="{00000000-58A1-457A-A6BA-CF4464EDC5A8}"/>
            </c:ext>
          </c:extLst>
        </c:ser>
        <c:dLbls>
          <c:showLegendKey val="0"/>
          <c:showVal val="0"/>
          <c:showCatName val="0"/>
          <c:showSerName val="0"/>
          <c:showPercent val="0"/>
          <c:showBubbleSize val="0"/>
        </c:dLbls>
        <c:axId val="340114432"/>
        <c:axId val="339944576"/>
      </c:scatterChart>
      <c:valAx>
        <c:axId val="340114432"/>
        <c:scaling>
          <c:orientation val="minMax"/>
        </c:scaling>
        <c:delete val="0"/>
        <c:axPos val="b"/>
        <c:title>
          <c:tx>
            <c:strRef>
              <c:f>Data!$D$15</c:f>
              <c:strCache>
                <c:ptCount val="1"/>
                <c:pt idx="0">
                  <c:v>Distance [mm]</c:v>
                </c:pt>
              </c:strCache>
            </c:strRef>
          </c:tx>
          <c:layout>
            <c:manualLayout>
              <c:xMode val="edge"/>
              <c:yMode val="edge"/>
              <c:x val="0.41601306604566179"/>
              <c:y val="0.90969841260090711"/>
            </c:manualLayout>
          </c:layout>
          <c:overlay val="0"/>
          <c:spPr>
            <a:noFill/>
            <a:ln w="25400">
              <a:noFill/>
            </a:ln>
          </c:spPr>
          <c:txPr>
            <a:bodyPr/>
            <a:lstStyle/>
            <a:p>
              <a:pPr>
                <a:defRPr sz="1000" b="1" i="0" u="none" strike="noStrike" baseline="0">
                  <a:solidFill>
                    <a:srgbClr val="000000"/>
                  </a:solidFill>
                  <a:latin typeface="+mn-lt"/>
                  <a:ea typeface="Arial"/>
                  <a:cs typeface="Arial"/>
                </a:defRPr>
              </a:pPr>
              <a:endParaRPr lang="sv-SE"/>
            </a:p>
          </c:tx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sv-SE"/>
          </a:p>
        </c:txPr>
        <c:crossAx val="339944576"/>
        <c:crosses val="autoZero"/>
        <c:crossBetween val="midCat"/>
      </c:valAx>
      <c:valAx>
        <c:axId val="339944576"/>
        <c:scaling>
          <c:orientation val="minMax"/>
        </c:scaling>
        <c:delete val="0"/>
        <c:axPos val="l"/>
        <c:majorGridlines>
          <c:spPr>
            <a:ln w="3175">
              <a:solidFill>
                <a:srgbClr val="000000"/>
              </a:solidFill>
              <a:prstDash val="solid"/>
            </a:ln>
          </c:spPr>
        </c:majorGridlines>
        <c:title>
          <c:tx>
            <c:strRef>
              <c:f>Data!$G$15</c:f>
              <c:strCache>
                <c:ptCount val="1"/>
                <c:pt idx="0">
                  <c:v>Speed [mm/s]</c:v>
                </c:pt>
              </c:strCache>
            </c:strRef>
          </c:tx>
          <c:layout>
            <c:manualLayout>
              <c:xMode val="edge"/>
              <c:yMode val="edge"/>
              <c:x val="1.4888697824308225E-2"/>
              <c:y val="0.36217955187062811"/>
            </c:manualLayout>
          </c:layout>
          <c:overlay val="0"/>
          <c:spPr>
            <a:noFill/>
            <a:ln w="25400">
              <a:noFill/>
            </a:ln>
          </c:spPr>
          <c:txPr>
            <a:bodyPr/>
            <a:lstStyle/>
            <a:p>
              <a:pPr>
                <a:defRPr sz="1000" b="1" i="0" u="none" strike="noStrike" baseline="0">
                  <a:solidFill>
                    <a:srgbClr val="000000"/>
                  </a:solidFill>
                  <a:latin typeface="+mn-lt"/>
                  <a:ea typeface="Arial"/>
                  <a:cs typeface="Arial"/>
                </a:defRPr>
              </a:pPr>
              <a:endParaRPr lang="sv-SE"/>
            </a:p>
          </c:tx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sv-SE"/>
          </a:p>
        </c:txPr>
        <c:crossAx val="34011443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825" b="0" i="0" u="none" strike="noStrike" baseline="0">
          <a:solidFill>
            <a:srgbClr val="000000"/>
          </a:solidFill>
          <a:latin typeface="Arial"/>
          <a:ea typeface="Arial"/>
          <a:cs typeface="Arial"/>
        </a:defRPr>
      </a:pPr>
      <a:endParaRPr lang="sv-SE"/>
    </a:p>
  </c:txPr>
  <c:printSettings>
    <c:headerFooter alignWithMargins="0"/>
    <c:pageMargins b="0.75" l="0.25" r="0.25"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Data!$AL$142</c:f>
          <c:strCache>
            <c:ptCount val="1"/>
            <c:pt idx="0">
              <c:v>Motor perfomance of  AKM22E</c:v>
            </c:pt>
          </c:strCache>
        </c:strRef>
      </c:tx>
      <c:overlay val="0"/>
    </c:title>
    <c:autoTitleDeleted val="0"/>
    <c:plotArea>
      <c:layout/>
      <c:scatterChart>
        <c:scatterStyle val="lineMarker"/>
        <c:varyColors val="0"/>
        <c:ser>
          <c:idx val="0"/>
          <c:order val="0"/>
          <c:tx>
            <c:v>Continuous</c:v>
          </c:tx>
          <c:marker>
            <c:symbol val="none"/>
          </c:marker>
          <c:xVal>
            <c:numRef>
              <c:f>Data!$AR$146:$AR$197</c:f>
              <c:numCache>
                <c:formatCode>General</c:formatCode>
                <c:ptCount val="52"/>
                <c:pt idx="0">
                  <c:v>0</c:v>
                </c:pt>
                <c:pt idx="1">
                  <c:v>160</c:v>
                </c:pt>
                <c:pt idx="2">
                  <c:v>320</c:v>
                </c:pt>
                <c:pt idx="3">
                  <c:v>480</c:v>
                </c:pt>
                <c:pt idx="4">
                  <c:v>640</c:v>
                </c:pt>
                <c:pt idx="5">
                  <c:v>800</c:v>
                </c:pt>
                <c:pt idx="6">
                  <c:v>960</c:v>
                </c:pt>
                <c:pt idx="7">
                  <c:v>1120</c:v>
                </c:pt>
                <c:pt idx="8">
                  <c:v>1280</c:v>
                </c:pt>
                <c:pt idx="9">
                  <c:v>1440</c:v>
                </c:pt>
                <c:pt idx="10">
                  <c:v>1600</c:v>
                </c:pt>
                <c:pt idx="11">
                  <c:v>1760</c:v>
                </c:pt>
                <c:pt idx="12">
                  <c:v>1920</c:v>
                </c:pt>
                <c:pt idx="13">
                  <c:v>2080</c:v>
                </c:pt>
                <c:pt idx="14">
                  <c:v>2240</c:v>
                </c:pt>
                <c:pt idx="15">
                  <c:v>2400</c:v>
                </c:pt>
                <c:pt idx="16">
                  <c:v>2560</c:v>
                </c:pt>
                <c:pt idx="17">
                  <c:v>2720</c:v>
                </c:pt>
                <c:pt idx="18">
                  <c:v>2880</c:v>
                </c:pt>
                <c:pt idx="19">
                  <c:v>3040</c:v>
                </c:pt>
                <c:pt idx="20">
                  <c:v>3200</c:v>
                </c:pt>
                <c:pt idx="21">
                  <c:v>3360</c:v>
                </c:pt>
                <c:pt idx="22">
                  <c:v>3520</c:v>
                </c:pt>
                <c:pt idx="23">
                  <c:v>3680</c:v>
                </c:pt>
                <c:pt idx="24">
                  <c:v>3840</c:v>
                </c:pt>
                <c:pt idx="25">
                  <c:v>4000</c:v>
                </c:pt>
                <c:pt idx="26">
                  <c:v>4160</c:v>
                </c:pt>
                <c:pt idx="27">
                  <c:v>4320</c:v>
                </c:pt>
                <c:pt idx="28">
                  <c:v>4480</c:v>
                </c:pt>
                <c:pt idx="29">
                  <c:v>4640</c:v>
                </c:pt>
                <c:pt idx="30">
                  <c:v>4800</c:v>
                </c:pt>
                <c:pt idx="31">
                  <c:v>4960</c:v>
                </c:pt>
                <c:pt idx="32">
                  <c:v>5120</c:v>
                </c:pt>
                <c:pt idx="33">
                  <c:v>5280</c:v>
                </c:pt>
                <c:pt idx="34">
                  <c:v>5440</c:v>
                </c:pt>
                <c:pt idx="35">
                  <c:v>5600</c:v>
                </c:pt>
                <c:pt idx="36">
                  <c:v>5760</c:v>
                </c:pt>
                <c:pt idx="37">
                  <c:v>5920</c:v>
                </c:pt>
                <c:pt idx="38">
                  <c:v>6080</c:v>
                </c:pt>
                <c:pt idx="39">
                  <c:v>6240</c:v>
                </c:pt>
                <c:pt idx="40">
                  <c:v>6400</c:v>
                </c:pt>
                <c:pt idx="41">
                  <c:v>6560</c:v>
                </c:pt>
                <c:pt idx="42">
                  <c:v>6720</c:v>
                </c:pt>
                <c:pt idx="43">
                  <c:v>6880</c:v>
                </c:pt>
                <c:pt idx="44">
                  <c:v>7040</c:v>
                </c:pt>
                <c:pt idx="45">
                  <c:v>7200</c:v>
                </c:pt>
                <c:pt idx="46">
                  <c:v>7360</c:v>
                </c:pt>
                <c:pt idx="47">
                  <c:v>7520</c:v>
                </c:pt>
                <c:pt idx="48">
                  <c:v>7680</c:v>
                </c:pt>
                <c:pt idx="49">
                  <c:v>7840</c:v>
                </c:pt>
                <c:pt idx="50">
                  <c:v>8000</c:v>
                </c:pt>
                <c:pt idx="51">
                  <c:v>8000</c:v>
                </c:pt>
              </c:numCache>
            </c:numRef>
          </c:xVal>
          <c:yVal>
            <c:numRef>
              <c:f>Data!$AQ$146:$AQ$197</c:f>
              <c:numCache>
                <c:formatCode>General</c:formatCode>
                <c:ptCount val="52"/>
                <c:pt idx="0">
                  <c:v>0.87</c:v>
                </c:pt>
                <c:pt idx="1">
                  <c:v>0.86680000000000001</c:v>
                </c:pt>
                <c:pt idx="2">
                  <c:v>0.86360000000000003</c:v>
                </c:pt>
                <c:pt idx="3">
                  <c:v>0.86040000000000005</c:v>
                </c:pt>
                <c:pt idx="4">
                  <c:v>0.85720000000000007</c:v>
                </c:pt>
                <c:pt idx="5">
                  <c:v>0.85400000000000009</c:v>
                </c:pt>
                <c:pt idx="6">
                  <c:v>0.85080000000000011</c:v>
                </c:pt>
                <c:pt idx="7">
                  <c:v>0.84824000000000011</c:v>
                </c:pt>
                <c:pt idx="8">
                  <c:v>0.8456800000000001</c:v>
                </c:pt>
                <c:pt idx="9">
                  <c:v>0.84312000000000009</c:v>
                </c:pt>
                <c:pt idx="10">
                  <c:v>0.84056000000000008</c:v>
                </c:pt>
                <c:pt idx="11">
                  <c:v>0.83800000000000008</c:v>
                </c:pt>
                <c:pt idx="12">
                  <c:v>0.83544000000000007</c:v>
                </c:pt>
                <c:pt idx="13">
                  <c:v>0.83288000000000006</c:v>
                </c:pt>
                <c:pt idx="14">
                  <c:v>0.83032000000000006</c:v>
                </c:pt>
                <c:pt idx="15">
                  <c:v>0.82776000000000005</c:v>
                </c:pt>
                <c:pt idx="16">
                  <c:v>0.82520000000000004</c:v>
                </c:pt>
                <c:pt idx="17">
                  <c:v>0.82264000000000004</c:v>
                </c:pt>
                <c:pt idx="18">
                  <c:v>0.82008000000000003</c:v>
                </c:pt>
                <c:pt idx="19">
                  <c:v>0.81752000000000002</c:v>
                </c:pt>
                <c:pt idx="20">
                  <c:v>0.81496000000000002</c:v>
                </c:pt>
                <c:pt idx="21">
                  <c:v>0.81240000000000001</c:v>
                </c:pt>
                <c:pt idx="22">
                  <c:v>0.80848888888888892</c:v>
                </c:pt>
                <c:pt idx="23">
                  <c:v>0.80457777777777784</c:v>
                </c:pt>
                <c:pt idx="24">
                  <c:v>0.80066666666666675</c:v>
                </c:pt>
                <c:pt idx="25">
                  <c:v>0.79675555555555566</c:v>
                </c:pt>
                <c:pt idx="26">
                  <c:v>0.79284444444444457</c:v>
                </c:pt>
                <c:pt idx="27">
                  <c:v>0.78893333333333349</c:v>
                </c:pt>
                <c:pt idx="28">
                  <c:v>0.7850222222222224</c:v>
                </c:pt>
                <c:pt idx="29">
                  <c:v>0.78111111111111131</c:v>
                </c:pt>
                <c:pt idx="30">
                  <c:v>0.77720000000000022</c:v>
                </c:pt>
                <c:pt idx="31">
                  <c:v>0.77328888888888914</c:v>
                </c:pt>
                <c:pt idx="32">
                  <c:v>0.76937777777777805</c:v>
                </c:pt>
                <c:pt idx="33">
                  <c:v>0.76546666666666696</c:v>
                </c:pt>
                <c:pt idx="34">
                  <c:v>0.76155555555555587</c:v>
                </c:pt>
                <c:pt idx="35">
                  <c:v>0.75764444444444479</c:v>
                </c:pt>
                <c:pt idx="36">
                  <c:v>0.7537333333333337</c:v>
                </c:pt>
                <c:pt idx="37">
                  <c:v>0.74982222222222261</c:v>
                </c:pt>
                <c:pt idx="38">
                  <c:v>0.74591111111111152</c:v>
                </c:pt>
                <c:pt idx="39">
                  <c:v>0.74200000000000044</c:v>
                </c:pt>
                <c:pt idx="40">
                  <c:v>0.73808888888888935</c:v>
                </c:pt>
                <c:pt idx="41">
                  <c:v>0.73417777777777826</c:v>
                </c:pt>
                <c:pt idx="42">
                  <c:v>0.73026666666666717</c:v>
                </c:pt>
                <c:pt idx="43">
                  <c:v>0.72635555555555609</c:v>
                </c:pt>
                <c:pt idx="44">
                  <c:v>0.722444444444445</c:v>
                </c:pt>
                <c:pt idx="45">
                  <c:v>0.71853333333333391</c:v>
                </c:pt>
                <c:pt idx="46">
                  <c:v>0.71462222222222282</c:v>
                </c:pt>
                <c:pt idx="47">
                  <c:v>0.71071111111111174</c:v>
                </c:pt>
                <c:pt idx="48">
                  <c:v>0.70680000000000065</c:v>
                </c:pt>
                <c:pt idx="49">
                  <c:v>0.70288888888888956</c:v>
                </c:pt>
                <c:pt idx="50">
                  <c:v>0.7</c:v>
                </c:pt>
                <c:pt idx="51">
                  <c:v>0.7</c:v>
                </c:pt>
              </c:numCache>
            </c:numRef>
          </c:yVal>
          <c:smooth val="0"/>
          <c:extLst>
            <c:ext xmlns:c16="http://schemas.microsoft.com/office/drawing/2014/chart" uri="{C3380CC4-5D6E-409C-BE32-E72D297353CC}">
              <c16:uniqueId val="{00000000-12F4-4267-AFCC-C181342D310C}"/>
            </c:ext>
          </c:extLst>
        </c:ser>
        <c:ser>
          <c:idx val="1"/>
          <c:order val="1"/>
          <c:tx>
            <c:v>Cyclic</c:v>
          </c:tx>
          <c:marker>
            <c:symbol val="none"/>
          </c:marker>
          <c:xVal>
            <c:numRef>
              <c:f>Data!$AT$146:$AT$197</c:f>
              <c:numCache>
                <c:formatCode>General</c:formatCode>
                <c:ptCount val="52"/>
                <c:pt idx="0">
                  <c:v>0</c:v>
                </c:pt>
                <c:pt idx="1">
                  <c:v>5148.3999999999996</c:v>
                </c:pt>
                <c:pt idx="2">
                  <c:v>5224.8</c:v>
                </c:pt>
                <c:pt idx="3">
                  <c:v>5302.7</c:v>
                </c:pt>
                <c:pt idx="4">
                  <c:v>5382.1</c:v>
                </c:pt>
                <c:pt idx="5">
                  <c:v>5463.1</c:v>
                </c:pt>
                <c:pt idx="6">
                  <c:v>5545.7</c:v>
                </c:pt>
                <c:pt idx="7">
                  <c:v>5630</c:v>
                </c:pt>
                <c:pt idx="8">
                  <c:v>5715.8</c:v>
                </c:pt>
                <c:pt idx="9">
                  <c:v>5803.3</c:v>
                </c:pt>
                <c:pt idx="10">
                  <c:v>5892.4</c:v>
                </c:pt>
                <c:pt idx="11">
                  <c:v>5983.2</c:v>
                </c:pt>
                <c:pt idx="12">
                  <c:v>6075.6</c:v>
                </c:pt>
                <c:pt idx="13">
                  <c:v>6169.7</c:v>
                </c:pt>
                <c:pt idx="14">
                  <c:v>6265.5</c:v>
                </c:pt>
                <c:pt idx="15">
                  <c:v>6362.9</c:v>
                </c:pt>
                <c:pt idx="16">
                  <c:v>6461.9</c:v>
                </c:pt>
                <c:pt idx="17">
                  <c:v>6562.5</c:v>
                </c:pt>
                <c:pt idx="18">
                  <c:v>6664.7</c:v>
                </c:pt>
                <c:pt idx="19">
                  <c:v>6768.4</c:v>
                </c:pt>
                <c:pt idx="20">
                  <c:v>6873.6</c:v>
                </c:pt>
                <c:pt idx="21">
                  <c:v>6980.1</c:v>
                </c:pt>
                <c:pt idx="22">
                  <c:v>7088</c:v>
                </c:pt>
                <c:pt idx="23">
                  <c:v>7197.1</c:v>
                </c:pt>
                <c:pt idx="24">
                  <c:v>7307.4</c:v>
                </c:pt>
                <c:pt idx="25">
                  <c:v>7418.7</c:v>
                </c:pt>
                <c:pt idx="26">
                  <c:v>7530.8</c:v>
                </c:pt>
                <c:pt idx="27">
                  <c:v>7643.7</c:v>
                </c:pt>
                <c:pt idx="28">
                  <c:v>7757.2</c:v>
                </c:pt>
                <c:pt idx="29">
                  <c:v>7871.1</c:v>
                </c:pt>
                <c:pt idx="30">
                  <c:v>7985.2</c:v>
                </c:pt>
                <c:pt idx="31">
                  <c:v>8000</c:v>
                </c:pt>
                <c:pt idx="32">
                  <c:v>8000</c:v>
                </c:pt>
                <c:pt idx="33">
                  <c:v>8000</c:v>
                </c:pt>
                <c:pt idx="34">
                  <c:v>8000</c:v>
                </c:pt>
                <c:pt idx="35">
                  <c:v>8000</c:v>
                </c:pt>
                <c:pt idx="36">
                  <c:v>8000</c:v>
                </c:pt>
                <c:pt idx="37">
                  <c:v>8000</c:v>
                </c:pt>
                <c:pt idx="38">
                  <c:v>8000</c:v>
                </c:pt>
                <c:pt idx="39">
                  <c:v>8000</c:v>
                </c:pt>
                <c:pt idx="40">
                  <c:v>8000</c:v>
                </c:pt>
                <c:pt idx="41">
                  <c:v>8000</c:v>
                </c:pt>
                <c:pt idx="42">
                  <c:v>8000</c:v>
                </c:pt>
                <c:pt idx="43">
                  <c:v>8000</c:v>
                </c:pt>
                <c:pt idx="44">
                  <c:v>8000</c:v>
                </c:pt>
                <c:pt idx="45">
                  <c:v>8000</c:v>
                </c:pt>
                <c:pt idx="46">
                  <c:v>8000</c:v>
                </c:pt>
                <c:pt idx="47">
                  <c:v>8000</c:v>
                </c:pt>
                <c:pt idx="48">
                  <c:v>8000</c:v>
                </c:pt>
                <c:pt idx="49">
                  <c:v>8000</c:v>
                </c:pt>
                <c:pt idx="50">
                  <c:v>8000</c:v>
                </c:pt>
                <c:pt idx="51">
                  <c:v>8000</c:v>
                </c:pt>
              </c:numCache>
            </c:numRef>
          </c:xVal>
          <c:yVal>
            <c:numRef>
              <c:f>Data!$AS$146:$AS$197</c:f>
              <c:numCache>
                <c:formatCode>General</c:formatCode>
                <c:ptCount val="52"/>
                <c:pt idx="0">
                  <c:v>2.7600000000000002</c:v>
                </c:pt>
                <c:pt idx="1">
                  <c:v>2.7600000000000002</c:v>
                </c:pt>
                <c:pt idx="2">
                  <c:v>2.7194116923076921</c:v>
                </c:pt>
                <c:pt idx="3">
                  <c:v>2.6782269890109891</c:v>
                </c:pt>
                <c:pt idx="4">
                  <c:v>2.6364458901098904</c:v>
                </c:pt>
                <c:pt idx="5">
                  <c:v>2.5940683956043955</c:v>
                </c:pt>
                <c:pt idx="6">
                  <c:v>2.5510945054945053</c:v>
                </c:pt>
                <c:pt idx="7">
                  <c:v>2.5075242197802194</c:v>
                </c:pt>
                <c:pt idx="8">
                  <c:v>2.4633575384615383</c:v>
                </c:pt>
                <c:pt idx="9">
                  <c:v>2.4185944615384618</c:v>
                </c:pt>
                <c:pt idx="10">
                  <c:v>2.3732349890109892</c:v>
                </c:pt>
                <c:pt idx="11">
                  <c:v>2.3272791208791213</c:v>
                </c:pt>
                <c:pt idx="12">
                  <c:v>2.2807268571428576</c:v>
                </c:pt>
                <c:pt idx="13">
                  <c:v>2.2335781978021974</c:v>
                </c:pt>
                <c:pt idx="14">
                  <c:v>2.1858331428571427</c:v>
                </c:pt>
                <c:pt idx="15">
                  <c:v>2.1374916923076923</c:v>
                </c:pt>
                <c:pt idx="16">
                  <c:v>2.0885538461538462</c:v>
                </c:pt>
                <c:pt idx="17">
                  <c:v>2.0390196043956044</c:v>
                </c:pt>
                <c:pt idx="18">
                  <c:v>1.9888889670329672</c:v>
                </c:pt>
                <c:pt idx="19">
                  <c:v>1.938161934065934</c:v>
                </c:pt>
                <c:pt idx="20">
                  <c:v>1.8868385054945054</c:v>
                </c:pt>
                <c:pt idx="21">
                  <c:v>1.8349186813186811</c:v>
                </c:pt>
                <c:pt idx="22">
                  <c:v>1.7824024615384615</c:v>
                </c:pt>
                <c:pt idx="23">
                  <c:v>1.7292898461538462</c:v>
                </c:pt>
                <c:pt idx="24">
                  <c:v>1.6755808351648354</c:v>
                </c:pt>
                <c:pt idx="25">
                  <c:v>1.6212754285714288</c:v>
                </c:pt>
                <c:pt idx="26">
                  <c:v>1.5663736263736265</c:v>
                </c:pt>
                <c:pt idx="27">
                  <c:v>1.5108754285714285</c:v>
                </c:pt>
                <c:pt idx="28">
                  <c:v>1.4547808351648353</c:v>
                </c:pt>
                <c:pt idx="29">
                  <c:v>1.398089846153846</c:v>
                </c:pt>
                <c:pt idx="30">
                  <c:v>1.3408024615384615</c:v>
                </c:pt>
                <c:pt idx="31">
                  <c:v>1.2829186813186786</c:v>
                </c:pt>
                <c:pt idx="32">
                  <c:v>1.2244385054945026</c:v>
                </c:pt>
                <c:pt idx="33">
                  <c:v>1.1653619340659311</c:v>
                </c:pt>
                <c:pt idx="34">
                  <c:v>1.1056889670329642</c:v>
                </c:pt>
                <c:pt idx="35">
                  <c:v>1.0454196043956014</c:v>
                </c:pt>
                <c:pt idx="36">
                  <c:v>0.98455384615384289</c:v>
                </c:pt>
                <c:pt idx="37">
                  <c:v>0.92309169230768928</c:v>
                </c:pt>
                <c:pt idx="38">
                  <c:v>0.86103314285713972</c:v>
                </c:pt>
                <c:pt idx="39">
                  <c:v>0.79837819780219466</c:v>
                </c:pt>
                <c:pt idx="40">
                  <c:v>0.73512685714285386</c:v>
                </c:pt>
                <c:pt idx="41">
                  <c:v>0.67127912087911767</c:v>
                </c:pt>
                <c:pt idx="42">
                  <c:v>0.60683498901098565</c:v>
                </c:pt>
                <c:pt idx="43">
                  <c:v>0.54179446153845823</c:v>
                </c:pt>
                <c:pt idx="44">
                  <c:v>0.47615753846153508</c:v>
                </c:pt>
                <c:pt idx="45">
                  <c:v>0.40992421978021643</c:v>
                </c:pt>
                <c:pt idx="46">
                  <c:v>0.3430945054945021</c:v>
                </c:pt>
                <c:pt idx="47">
                  <c:v>0.27566839560439221</c:v>
                </c:pt>
                <c:pt idx="48">
                  <c:v>0.20764589010988635</c:v>
                </c:pt>
                <c:pt idx="49">
                  <c:v>0.13902698901098556</c:v>
                </c:pt>
                <c:pt idx="50">
                  <c:v>6.9811692307688827E-2</c:v>
                </c:pt>
                <c:pt idx="51">
                  <c:v>0</c:v>
                </c:pt>
              </c:numCache>
            </c:numRef>
          </c:yVal>
          <c:smooth val="0"/>
          <c:extLst>
            <c:ext xmlns:c16="http://schemas.microsoft.com/office/drawing/2014/chart" uri="{C3380CC4-5D6E-409C-BE32-E72D297353CC}">
              <c16:uniqueId val="{00000001-12F4-4267-AFCC-C181342D310C}"/>
            </c:ext>
          </c:extLst>
        </c:ser>
        <c:ser>
          <c:idx val="2"/>
          <c:order val="2"/>
          <c:tx>
            <c:strRef>
              <c:f>Data!$AN$141</c:f>
              <c:strCache>
                <c:ptCount val="1"/>
                <c:pt idx="0">
                  <c:v>Working point (Mean rpm, T RMS)</c:v>
                </c:pt>
              </c:strCache>
            </c:strRef>
          </c:tx>
          <c:spPr>
            <a:ln>
              <a:noFill/>
            </a:ln>
          </c:spPr>
          <c:marker>
            <c:symbol val="diamond"/>
            <c:size val="8"/>
            <c:spPr>
              <a:solidFill>
                <a:schemeClr val="tx1"/>
              </a:solidFill>
              <a:ln>
                <a:noFill/>
              </a:ln>
            </c:spPr>
          </c:marker>
          <c:xVal>
            <c:numRef>
              <c:f>Data!$AO$140</c:f>
              <c:numCache>
                <c:formatCode>0</c:formatCode>
                <c:ptCount val="1"/>
                <c:pt idx="0">
                  <c:v>0.10169663892608348</c:v>
                </c:pt>
              </c:numCache>
            </c:numRef>
          </c:xVal>
          <c:yVal>
            <c:numRef>
              <c:f>Data!$AN$140</c:f>
              <c:numCache>
                <c:formatCode>0.00</c:formatCode>
                <c:ptCount val="1"/>
                <c:pt idx="0">
                  <c:v>2.6394005504473489E-2</c:v>
                </c:pt>
              </c:numCache>
            </c:numRef>
          </c:yVal>
          <c:smooth val="0"/>
          <c:extLst>
            <c:ext xmlns:c16="http://schemas.microsoft.com/office/drawing/2014/chart" uri="{C3380CC4-5D6E-409C-BE32-E72D297353CC}">
              <c16:uniqueId val="{00000002-12F4-4267-AFCC-C181342D310C}"/>
            </c:ext>
          </c:extLst>
        </c:ser>
        <c:dLbls>
          <c:showLegendKey val="0"/>
          <c:showVal val="0"/>
          <c:showCatName val="0"/>
          <c:showSerName val="0"/>
          <c:showPercent val="0"/>
          <c:showBubbleSize val="0"/>
        </c:dLbls>
        <c:axId val="340781696"/>
        <c:axId val="340862080"/>
      </c:scatterChart>
      <c:valAx>
        <c:axId val="340781696"/>
        <c:scaling>
          <c:orientation val="minMax"/>
        </c:scaling>
        <c:delete val="0"/>
        <c:axPos val="b"/>
        <c:title>
          <c:tx>
            <c:rich>
              <a:bodyPr/>
              <a:lstStyle/>
              <a:p>
                <a:pPr>
                  <a:defRPr/>
                </a:pPr>
                <a:r>
                  <a:rPr lang="en-US"/>
                  <a:t>Load/Torque</a:t>
                </a:r>
              </a:p>
            </c:rich>
          </c:tx>
          <c:overlay val="0"/>
        </c:title>
        <c:numFmt formatCode="General" sourceLinked="1"/>
        <c:majorTickMark val="none"/>
        <c:minorTickMark val="none"/>
        <c:tickLblPos val="nextTo"/>
        <c:crossAx val="340862080"/>
        <c:crosses val="autoZero"/>
        <c:crossBetween val="midCat"/>
      </c:valAx>
      <c:valAx>
        <c:axId val="340862080"/>
        <c:scaling>
          <c:orientation val="minMax"/>
        </c:scaling>
        <c:delete val="0"/>
        <c:axPos val="l"/>
        <c:majorGridlines/>
        <c:title>
          <c:tx>
            <c:rich>
              <a:bodyPr/>
              <a:lstStyle/>
              <a:p>
                <a:pPr>
                  <a:defRPr/>
                </a:pPr>
                <a:r>
                  <a:rPr lang="en-US"/>
                  <a:t>Speed</a:t>
                </a:r>
              </a:p>
            </c:rich>
          </c:tx>
          <c:overlay val="0"/>
        </c:title>
        <c:numFmt formatCode="General" sourceLinked="1"/>
        <c:majorTickMark val="none"/>
        <c:minorTickMark val="none"/>
        <c:tickLblPos val="nextTo"/>
        <c:crossAx val="3407816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Torque-Speed Diagram for:</a:t>
            </a:r>
          </a:p>
        </c:rich>
      </c:tx>
      <c:layout>
        <c:manualLayout>
          <c:xMode val="edge"/>
          <c:yMode val="edge"/>
          <c:x val="0.19410116704161981"/>
          <c:y val="2.0942408376963352E-2"/>
        </c:manualLayout>
      </c:layout>
      <c:overlay val="0"/>
    </c:title>
    <c:autoTitleDeleted val="0"/>
    <c:plotArea>
      <c:layout/>
      <c:scatterChart>
        <c:scatterStyle val="lineMarker"/>
        <c:varyColors val="0"/>
        <c:ser>
          <c:idx val="0"/>
          <c:order val="0"/>
          <c:tx>
            <c:v>Cyclic</c:v>
          </c:tx>
          <c:spPr>
            <a:ln cap="rnd">
              <a:round/>
            </a:ln>
          </c:spPr>
          <c:marker>
            <c:symbol val="none"/>
          </c:marker>
          <c:xVal>
            <c:numRef>
              <c:f>Calc!$B$20:$B$71</c:f>
              <c:numCache>
                <c:formatCode>General</c:formatCode>
                <c:ptCount val="52"/>
                <c:pt idx="0">
                  <c:v>0</c:v>
                </c:pt>
                <c:pt idx="1">
                  <c:v>5148.3999999999996</c:v>
                </c:pt>
                <c:pt idx="2">
                  <c:v>5224.8</c:v>
                </c:pt>
                <c:pt idx="3">
                  <c:v>5302.7</c:v>
                </c:pt>
                <c:pt idx="4">
                  <c:v>5382.1</c:v>
                </c:pt>
                <c:pt idx="5">
                  <c:v>5463.1</c:v>
                </c:pt>
                <c:pt idx="6">
                  <c:v>5545.7</c:v>
                </c:pt>
                <c:pt idx="7">
                  <c:v>5630</c:v>
                </c:pt>
                <c:pt idx="8">
                  <c:v>5715.8</c:v>
                </c:pt>
                <c:pt idx="9">
                  <c:v>5803.3</c:v>
                </c:pt>
                <c:pt idx="10">
                  <c:v>5892.4</c:v>
                </c:pt>
                <c:pt idx="11">
                  <c:v>5983.2</c:v>
                </c:pt>
                <c:pt idx="12">
                  <c:v>6075.6</c:v>
                </c:pt>
                <c:pt idx="13">
                  <c:v>6169.7</c:v>
                </c:pt>
                <c:pt idx="14">
                  <c:v>6265.5</c:v>
                </c:pt>
                <c:pt idx="15">
                  <c:v>6362.9</c:v>
                </c:pt>
                <c:pt idx="16">
                  <c:v>6461.9</c:v>
                </c:pt>
                <c:pt idx="17">
                  <c:v>6562.5</c:v>
                </c:pt>
                <c:pt idx="18">
                  <c:v>6664.7</c:v>
                </c:pt>
                <c:pt idx="19">
                  <c:v>6768.4</c:v>
                </c:pt>
                <c:pt idx="20">
                  <c:v>6873.6</c:v>
                </c:pt>
                <c:pt idx="21">
                  <c:v>6980.1</c:v>
                </c:pt>
                <c:pt idx="22">
                  <c:v>7088</c:v>
                </c:pt>
                <c:pt idx="23">
                  <c:v>7197.1</c:v>
                </c:pt>
                <c:pt idx="24">
                  <c:v>7307.4</c:v>
                </c:pt>
                <c:pt idx="25">
                  <c:v>7418.7</c:v>
                </c:pt>
                <c:pt idx="26">
                  <c:v>7530.8</c:v>
                </c:pt>
                <c:pt idx="27">
                  <c:v>7643.7</c:v>
                </c:pt>
                <c:pt idx="28">
                  <c:v>7757.2</c:v>
                </c:pt>
                <c:pt idx="29">
                  <c:v>7871.1</c:v>
                </c:pt>
                <c:pt idx="30">
                  <c:v>7985.2</c:v>
                </c:pt>
                <c:pt idx="31">
                  <c:v>8000</c:v>
                </c:pt>
                <c:pt idx="32">
                  <c:v>8000</c:v>
                </c:pt>
                <c:pt idx="33">
                  <c:v>8000</c:v>
                </c:pt>
                <c:pt idx="34">
                  <c:v>8000</c:v>
                </c:pt>
                <c:pt idx="35">
                  <c:v>8000</c:v>
                </c:pt>
                <c:pt idx="36">
                  <c:v>8000</c:v>
                </c:pt>
                <c:pt idx="37">
                  <c:v>8000</c:v>
                </c:pt>
                <c:pt idx="38">
                  <c:v>8000</c:v>
                </c:pt>
                <c:pt idx="39">
                  <c:v>8000</c:v>
                </c:pt>
                <c:pt idx="40">
                  <c:v>8000</c:v>
                </c:pt>
                <c:pt idx="41">
                  <c:v>8000</c:v>
                </c:pt>
                <c:pt idx="42">
                  <c:v>8000</c:v>
                </c:pt>
                <c:pt idx="43">
                  <c:v>8000</c:v>
                </c:pt>
                <c:pt idx="44">
                  <c:v>8000</c:v>
                </c:pt>
                <c:pt idx="45">
                  <c:v>8000</c:v>
                </c:pt>
                <c:pt idx="46">
                  <c:v>8000</c:v>
                </c:pt>
                <c:pt idx="47">
                  <c:v>8000</c:v>
                </c:pt>
                <c:pt idx="48">
                  <c:v>8000</c:v>
                </c:pt>
                <c:pt idx="49">
                  <c:v>8000</c:v>
                </c:pt>
                <c:pt idx="50">
                  <c:v>8000</c:v>
                </c:pt>
                <c:pt idx="51">
                  <c:v>8000</c:v>
                </c:pt>
              </c:numCache>
            </c:numRef>
          </c:xVal>
          <c:yVal>
            <c:numRef>
              <c:f>Calc!$A$20:$A$71</c:f>
              <c:numCache>
                <c:formatCode>General</c:formatCode>
                <c:ptCount val="52"/>
                <c:pt idx="0">
                  <c:v>2.7600000000000002</c:v>
                </c:pt>
                <c:pt idx="1">
                  <c:v>2.7600000000000002</c:v>
                </c:pt>
                <c:pt idx="2">
                  <c:v>2.7194116923076921</c:v>
                </c:pt>
                <c:pt idx="3">
                  <c:v>2.6782269890109891</c:v>
                </c:pt>
                <c:pt idx="4">
                  <c:v>2.6364458901098904</c:v>
                </c:pt>
                <c:pt idx="5">
                  <c:v>2.5940683956043955</c:v>
                </c:pt>
                <c:pt idx="6">
                  <c:v>2.5510945054945053</c:v>
                </c:pt>
                <c:pt idx="7">
                  <c:v>2.5075242197802194</c:v>
                </c:pt>
                <c:pt idx="8">
                  <c:v>2.4633575384615383</c:v>
                </c:pt>
                <c:pt idx="9">
                  <c:v>2.4185944615384618</c:v>
                </c:pt>
                <c:pt idx="10">
                  <c:v>2.3732349890109892</c:v>
                </c:pt>
                <c:pt idx="11">
                  <c:v>2.3272791208791213</c:v>
                </c:pt>
                <c:pt idx="12">
                  <c:v>2.2807268571428576</c:v>
                </c:pt>
                <c:pt idx="13">
                  <c:v>2.2335781978021974</c:v>
                </c:pt>
                <c:pt idx="14">
                  <c:v>2.1858331428571427</c:v>
                </c:pt>
                <c:pt idx="15">
                  <c:v>2.1374916923076923</c:v>
                </c:pt>
                <c:pt idx="16">
                  <c:v>2.0885538461538462</c:v>
                </c:pt>
                <c:pt idx="17">
                  <c:v>2.0390196043956044</c:v>
                </c:pt>
                <c:pt idx="18">
                  <c:v>1.9888889670329672</c:v>
                </c:pt>
                <c:pt idx="19">
                  <c:v>1.938161934065934</c:v>
                </c:pt>
                <c:pt idx="20">
                  <c:v>1.8868385054945054</c:v>
                </c:pt>
                <c:pt idx="21">
                  <c:v>1.8349186813186811</c:v>
                </c:pt>
                <c:pt idx="22">
                  <c:v>1.7824024615384615</c:v>
                </c:pt>
                <c:pt idx="23">
                  <c:v>1.7292898461538462</c:v>
                </c:pt>
                <c:pt idx="24">
                  <c:v>1.6755808351648354</c:v>
                </c:pt>
                <c:pt idx="25">
                  <c:v>1.6212754285714288</c:v>
                </c:pt>
                <c:pt idx="26">
                  <c:v>1.5663736263736265</c:v>
                </c:pt>
                <c:pt idx="27">
                  <c:v>1.5108754285714285</c:v>
                </c:pt>
                <c:pt idx="28">
                  <c:v>1.4547808351648353</c:v>
                </c:pt>
                <c:pt idx="29">
                  <c:v>1.398089846153846</c:v>
                </c:pt>
                <c:pt idx="30">
                  <c:v>1.3408024615384615</c:v>
                </c:pt>
                <c:pt idx="31">
                  <c:v>1.2829186813186786</c:v>
                </c:pt>
                <c:pt idx="32">
                  <c:v>1.2244385054945026</c:v>
                </c:pt>
                <c:pt idx="33">
                  <c:v>1.1653619340659311</c:v>
                </c:pt>
                <c:pt idx="34">
                  <c:v>1.1056889670329642</c:v>
                </c:pt>
                <c:pt idx="35">
                  <c:v>1.0454196043956014</c:v>
                </c:pt>
                <c:pt idx="36">
                  <c:v>0.98455384615384289</c:v>
                </c:pt>
                <c:pt idx="37">
                  <c:v>0.92309169230768928</c:v>
                </c:pt>
                <c:pt idx="38">
                  <c:v>0.86103314285713972</c:v>
                </c:pt>
                <c:pt idx="39">
                  <c:v>0.79837819780219466</c:v>
                </c:pt>
                <c:pt idx="40">
                  <c:v>0.73512685714285386</c:v>
                </c:pt>
                <c:pt idx="41">
                  <c:v>0.67127912087911767</c:v>
                </c:pt>
                <c:pt idx="42">
                  <c:v>0.60683498901098565</c:v>
                </c:pt>
                <c:pt idx="43">
                  <c:v>0.54179446153845823</c:v>
                </c:pt>
                <c:pt idx="44">
                  <c:v>0.47615753846153508</c:v>
                </c:pt>
                <c:pt idx="45">
                  <c:v>0.40992421978021643</c:v>
                </c:pt>
                <c:pt idx="46">
                  <c:v>0.3430945054945021</c:v>
                </c:pt>
                <c:pt idx="47">
                  <c:v>0.27566839560439221</c:v>
                </c:pt>
                <c:pt idx="48">
                  <c:v>0.20764589010988635</c:v>
                </c:pt>
                <c:pt idx="49">
                  <c:v>0.13902698901098556</c:v>
                </c:pt>
                <c:pt idx="50">
                  <c:v>6.9811692307688827E-2</c:v>
                </c:pt>
                <c:pt idx="51">
                  <c:v>0</c:v>
                </c:pt>
              </c:numCache>
            </c:numRef>
          </c:yVal>
          <c:smooth val="1"/>
          <c:extLst>
            <c:ext xmlns:c16="http://schemas.microsoft.com/office/drawing/2014/chart" uri="{C3380CC4-5D6E-409C-BE32-E72D297353CC}">
              <c16:uniqueId val="{00000000-9FFC-4D1B-8B03-2E0BD8182420}"/>
            </c:ext>
          </c:extLst>
        </c:ser>
        <c:ser>
          <c:idx val="1"/>
          <c:order val="1"/>
          <c:tx>
            <c:v>Continuous</c:v>
          </c:tx>
          <c:spPr>
            <a:ln>
              <a:solidFill>
                <a:schemeClr val="accent2"/>
              </a:solidFill>
              <a:prstDash val="dash"/>
            </a:ln>
          </c:spPr>
          <c:marker>
            <c:symbol val="none"/>
          </c:marker>
          <c:xVal>
            <c:numRef>
              <c:f>Calc!$B$86:$B$136</c:f>
              <c:numCache>
                <c:formatCode>General</c:formatCode>
                <c:ptCount val="51"/>
                <c:pt idx="0">
                  <c:v>0</c:v>
                </c:pt>
                <c:pt idx="1">
                  <c:v>160</c:v>
                </c:pt>
                <c:pt idx="2" formatCode="0.00">
                  <c:v>320</c:v>
                </c:pt>
                <c:pt idx="3" formatCode="0.00">
                  <c:v>480</c:v>
                </c:pt>
                <c:pt idx="4" formatCode="0.00">
                  <c:v>640</c:v>
                </c:pt>
                <c:pt idx="5" formatCode="0.00">
                  <c:v>800</c:v>
                </c:pt>
                <c:pt idx="6" formatCode="0.00">
                  <c:v>960</c:v>
                </c:pt>
                <c:pt idx="7" formatCode="0.00">
                  <c:v>1120</c:v>
                </c:pt>
                <c:pt idx="8" formatCode="0.00">
                  <c:v>1280</c:v>
                </c:pt>
                <c:pt idx="9" formatCode="0.00">
                  <c:v>1440</c:v>
                </c:pt>
                <c:pt idx="10" formatCode="0.00">
                  <c:v>1600</c:v>
                </c:pt>
                <c:pt idx="11" formatCode="0.00">
                  <c:v>1760</c:v>
                </c:pt>
                <c:pt idx="12" formatCode="0.00">
                  <c:v>1920</c:v>
                </c:pt>
                <c:pt idx="13" formatCode="0.00">
                  <c:v>2080</c:v>
                </c:pt>
                <c:pt idx="14" formatCode="0.00">
                  <c:v>2240</c:v>
                </c:pt>
                <c:pt idx="15" formatCode="0.00">
                  <c:v>2400</c:v>
                </c:pt>
                <c:pt idx="16" formatCode="0.00">
                  <c:v>2560</c:v>
                </c:pt>
                <c:pt idx="17" formatCode="0.00">
                  <c:v>2720</c:v>
                </c:pt>
                <c:pt idx="18" formatCode="0.00">
                  <c:v>2880</c:v>
                </c:pt>
                <c:pt idx="19" formatCode="0.00">
                  <c:v>3040</c:v>
                </c:pt>
                <c:pt idx="20" formatCode="0.00">
                  <c:v>3200</c:v>
                </c:pt>
                <c:pt idx="21" formatCode="0.00">
                  <c:v>3360</c:v>
                </c:pt>
                <c:pt idx="22" formatCode="0.00">
                  <c:v>3520</c:v>
                </c:pt>
                <c:pt idx="23" formatCode="0.00">
                  <c:v>3680</c:v>
                </c:pt>
                <c:pt idx="24" formatCode="0.00">
                  <c:v>3840</c:v>
                </c:pt>
                <c:pt idx="25" formatCode="0.00">
                  <c:v>4000</c:v>
                </c:pt>
                <c:pt idx="26" formatCode="0.00">
                  <c:v>4160</c:v>
                </c:pt>
                <c:pt idx="27" formatCode="0.00">
                  <c:v>4320</c:v>
                </c:pt>
                <c:pt idx="28" formatCode="0.00">
                  <c:v>4480</c:v>
                </c:pt>
                <c:pt idx="29" formatCode="0.00">
                  <c:v>4640</c:v>
                </c:pt>
                <c:pt idx="30" formatCode="0.00">
                  <c:v>4800</c:v>
                </c:pt>
                <c:pt idx="31" formatCode="0.00">
                  <c:v>4960</c:v>
                </c:pt>
                <c:pt idx="32" formatCode="0.00">
                  <c:v>5120</c:v>
                </c:pt>
                <c:pt idx="33" formatCode="0.00">
                  <c:v>5280</c:v>
                </c:pt>
                <c:pt idx="34" formatCode="0.00">
                  <c:v>5440</c:v>
                </c:pt>
                <c:pt idx="35" formatCode="0.00">
                  <c:v>5600</c:v>
                </c:pt>
                <c:pt idx="36" formatCode="0.00">
                  <c:v>5760</c:v>
                </c:pt>
                <c:pt idx="37" formatCode="0.00">
                  <c:v>5920</c:v>
                </c:pt>
                <c:pt idx="38" formatCode="0.00">
                  <c:v>6080</c:v>
                </c:pt>
                <c:pt idx="39" formatCode="0.00">
                  <c:v>6240</c:v>
                </c:pt>
                <c:pt idx="40" formatCode="0.00">
                  <c:v>6400</c:v>
                </c:pt>
                <c:pt idx="41" formatCode="0.00">
                  <c:v>6560</c:v>
                </c:pt>
                <c:pt idx="42" formatCode="0.00">
                  <c:v>6720</c:v>
                </c:pt>
                <c:pt idx="43" formatCode="0.00">
                  <c:v>6880</c:v>
                </c:pt>
                <c:pt idx="44" formatCode="0.00">
                  <c:v>7040</c:v>
                </c:pt>
                <c:pt idx="45" formatCode="0.00">
                  <c:v>7200</c:v>
                </c:pt>
                <c:pt idx="46" formatCode="0.00">
                  <c:v>7360</c:v>
                </c:pt>
                <c:pt idx="47" formatCode="0.00">
                  <c:v>7520</c:v>
                </c:pt>
                <c:pt idx="48" formatCode="0.00">
                  <c:v>7680</c:v>
                </c:pt>
                <c:pt idx="49" formatCode="0.00">
                  <c:v>7840</c:v>
                </c:pt>
                <c:pt idx="50">
                  <c:v>8000</c:v>
                </c:pt>
              </c:numCache>
            </c:numRef>
          </c:xVal>
          <c:yVal>
            <c:numRef>
              <c:f>Calc!$A$86:$A$136</c:f>
              <c:numCache>
                <c:formatCode>General</c:formatCode>
                <c:ptCount val="51"/>
                <c:pt idx="0">
                  <c:v>0.87</c:v>
                </c:pt>
                <c:pt idx="1">
                  <c:v>0.86680000000000001</c:v>
                </c:pt>
                <c:pt idx="2">
                  <c:v>0.86360000000000003</c:v>
                </c:pt>
                <c:pt idx="3">
                  <c:v>0.86040000000000005</c:v>
                </c:pt>
                <c:pt idx="4">
                  <c:v>0.85720000000000007</c:v>
                </c:pt>
                <c:pt idx="5">
                  <c:v>0.85400000000000009</c:v>
                </c:pt>
                <c:pt idx="6">
                  <c:v>0.85080000000000011</c:v>
                </c:pt>
                <c:pt idx="7">
                  <c:v>0.84824000000000011</c:v>
                </c:pt>
                <c:pt idx="8">
                  <c:v>0.8456800000000001</c:v>
                </c:pt>
                <c:pt idx="9">
                  <c:v>0.84312000000000009</c:v>
                </c:pt>
                <c:pt idx="10">
                  <c:v>0.84056000000000008</c:v>
                </c:pt>
                <c:pt idx="11">
                  <c:v>0.83800000000000008</c:v>
                </c:pt>
                <c:pt idx="12">
                  <c:v>0.83544000000000007</c:v>
                </c:pt>
                <c:pt idx="13">
                  <c:v>0.83288000000000006</c:v>
                </c:pt>
                <c:pt idx="14">
                  <c:v>0.83032000000000006</c:v>
                </c:pt>
                <c:pt idx="15">
                  <c:v>0.82776000000000005</c:v>
                </c:pt>
                <c:pt idx="16">
                  <c:v>0.82520000000000004</c:v>
                </c:pt>
                <c:pt idx="17">
                  <c:v>0.82264000000000004</c:v>
                </c:pt>
                <c:pt idx="18">
                  <c:v>0.82008000000000003</c:v>
                </c:pt>
                <c:pt idx="19">
                  <c:v>0.81752000000000002</c:v>
                </c:pt>
                <c:pt idx="20">
                  <c:v>0.81496000000000002</c:v>
                </c:pt>
                <c:pt idx="21">
                  <c:v>0.81240000000000001</c:v>
                </c:pt>
                <c:pt idx="22">
                  <c:v>0.80848888888888892</c:v>
                </c:pt>
                <c:pt idx="23">
                  <c:v>0.80457777777777784</c:v>
                </c:pt>
                <c:pt idx="24">
                  <c:v>0.80066666666666675</c:v>
                </c:pt>
                <c:pt idx="25">
                  <c:v>0.79675555555555566</c:v>
                </c:pt>
                <c:pt idx="26">
                  <c:v>0.79284444444444457</c:v>
                </c:pt>
                <c:pt idx="27">
                  <c:v>0.78893333333333349</c:v>
                </c:pt>
                <c:pt idx="28">
                  <c:v>0.7850222222222224</c:v>
                </c:pt>
                <c:pt idx="29">
                  <c:v>0.78111111111111131</c:v>
                </c:pt>
                <c:pt idx="30">
                  <c:v>0.77720000000000022</c:v>
                </c:pt>
                <c:pt idx="31">
                  <c:v>0.77328888888888914</c:v>
                </c:pt>
                <c:pt idx="32">
                  <c:v>0.76937777777777805</c:v>
                </c:pt>
                <c:pt idx="33">
                  <c:v>0.76546666666666696</c:v>
                </c:pt>
                <c:pt idx="34">
                  <c:v>0.76155555555555587</c:v>
                </c:pt>
                <c:pt idx="35">
                  <c:v>0.75764444444444479</c:v>
                </c:pt>
                <c:pt idx="36">
                  <c:v>0.7537333333333337</c:v>
                </c:pt>
                <c:pt idx="37">
                  <c:v>0.74982222222222261</c:v>
                </c:pt>
                <c:pt idx="38">
                  <c:v>0.74591111111111152</c:v>
                </c:pt>
                <c:pt idx="39">
                  <c:v>0.74200000000000044</c:v>
                </c:pt>
                <c:pt idx="40">
                  <c:v>0.73808888888888935</c:v>
                </c:pt>
                <c:pt idx="41">
                  <c:v>0.73417777777777826</c:v>
                </c:pt>
                <c:pt idx="42">
                  <c:v>0.73026666666666717</c:v>
                </c:pt>
                <c:pt idx="43">
                  <c:v>0.72635555555555609</c:v>
                </c:pt>
                <c:pt idx="44">
                  <c:v>0.722444444444445</c:v>
                </c:pt>
                <c:pt idx="45">
                  <c:v>0.71853333333333391</c:v>
                </c:pt>
                <c:pt idx="46">
                  <c:v>0.71462222222222282</c:v>
                </c:pt>
                <c:pt idx="47">
                  <c:v>0.71071111111111174</c:v>
                </c:pt>
                <c:pt idx="48">
                  <c:v>0.70680000000000065</c:v>
                </c:pt>
                <c:pt idx="49">
                  <c:v>0.70288888888888956</c:v>
                </c:pt>
                <c:pt idx="50">
                  <c:v>0.7</c:v>
                </c:pt>
              </c:numCache>
            </c:numRef>
          </c:yVal>
          <c:smooth val="1"/>
          <c:extLst>
            <c:ext xmlns:c16="http://schemas.microsoft.com/office/drawing/2014/chart" uri="{C3380CC4-5D6E-409C-BE32-E72D297353CC}">
              <c16:uniqueId val="{00000001-9FFC-4D1B-8B03-2E0BD8182420}"/>
            </c:ext>
          </c:extLst>
        </c:ser>
        <c:ser>
          <c:idx val="2"/>
          <c:order val="2"/>
          <c:tx>
            <c:v>Arbetspunkt</c:v>
          </c:tx>
          <c:spPr>
            <a:ln>
              <a:noFill/>
            </a:ln>
          </c:spPr>
          <c:marker>
            <c:symbol val="diamond"/>
            <c:size val="10"/>
            <c:spPr>
              <a:solidFill>
                <a:schemeClr val="tx1"/>
              </a:solidFill>
              <a:ln w="9525">
                <a:solidFill>
                  <a:schemeClr val="tx1"/>
                </a:solidFill>
              </a:ln>
            </c:spPr>
          </c:marker>
          <c:xVal>
            <c:numRef>
              <c:f>Calc!$B$142</c:f>
              <c:numCache>
                <c:formatCode>General</c:formatCode>
                <c:ptCount val="1"/>
                <c:pt idx="0">
                  <c:v>8000</c:v>
                </c:pt>
              </c:numCache>
            </c:numRef>
          </c:xVal>
          <c:yVal>
            <c:numRef>
              <c:f>Calc!$A$142</c:f>
              <c:numCache>
                <c:formatCode>General</c:formatCode>
                <c:ptCount val="1"/>
                <c:pt idx="0">
                  <c:v>0.7</c:v>
                </c:pt>
              </c:numCache>
            </c:numRef>
          </c:yVal>
          <c:smooth val="0"/>
          <c:extLst>
            <c:ext xmlns:c16="http://schemas.microsoft.com/office/drawing/2014/chart" uri="{C3380CC4-5D6E-409C-BE32-E72D297353CC}">
              <c16:uniqueId val="{00000002-9FFC-4D1B-8B03-2E0BD8182420}"/>
            </c:ext>
          </c:extLst>
        </c:ser>
        <c:dLbls>
          <c:showLegendKey val="0"/>
          <c:showVal val="0"/>
          <c:showCatName val="0"/>
          <c:showSerName val="0"/>
          <c:showPercent val="0"/>
          <c:showBubbleSize val="0"/>
        </c:dLbls>
        <c:axId val="342347776"/>
        <c:axId val="342350080"/>
      </c:scatterChart>
      <c:valAx>
        <c:axId val="342347776"/>
        <c:scaling>
          <c:orientation val="minMax"/>
        </c:scaling>
        <c:delete val="0"/>
        <c:axPos val="b"/>
        <c:title>
          <c:tx>
            <c:rich>
              <a:bodyPr/>
              <a:lstStyle/>
              <a:p>
                <a:pPr>
                  <a:defRPr/>
                </a:pPr>
                <a:r>
                  <a:rPr lang="sv-SE"/>
                  <a:t>Speed (rpm)</a:t>
                </a:r>
              </a:p>
            </c:rich>
          </c:tx>
          <c:overlay val="0"/>
        </c:title>
        <c:numFmt formatCode="General" sourceLinked="1"/>
        <c:majorTickMark val="in"/>
        <c:minorTickMark val="none"/>
        <c:tickLblPos val="low"/>
        <c:txPr>
          <a:bodyPr rot="0" vert="horz"/>
          <a:lstStyle/>
          <a:p>
            <a:pPr>
              <a:defRPr sz="1000" b="0" i="0" u="none" strike="noStrike" baseline="0">
                <a:solidFill>
                  <a:srgbClr val="000000"/>
                </a:solidFill>
                <a:latin typeface="Calibri"/>
                <a:ea typeface="Calibri"/>
                <a:cs typeface="Calibri"/>
              </a:defRPr>
            </a:pPr>
            <a:endParaRPr lang="sv-SE"/>
          </a:p>
        </c:txPr>
        <c:crossAx val="342350080"/>
        <c:crosses val="autoZero"/>
        <c:crossBetween val="midCat"/>
      </c:valAx>
      <c:valAx>
        <c:axId val="342350080"/>
        <c:scaling>
          <c:orientation val="minMax"/>
        </c:scaling>
        <c:delete val="0"/>
        <c:axPos val="l"/>
        <c:majorGridlines/>
        <c:title>
          <c:tx>
            <c:rich>
              <a:bodyPr/>
              <a:lstStyle/>
              <a:p>
                <a:pPr>
                  <a:defRPr/>
                </a:pPr>
                <a:r>
                  <a:rPr lang="sv-SE"/>
                  <a:t>Torque [Nm]</a:t>
                </a:r>
              </a:p>
            </c:rich>
          </c:tx>
          <c:overlay val="0"/>
        </c:title>
        <c:numFmt formatCode="General" sourceLinked="1"/>
        <c:majorTickMark val="none"/>
        <c:minorTickMark val="none"/>
        <c:tickLblPos val="nextTo"/>
        <c:crossAx val="342347776"/>
        <c:crosses val="autoZero"/>
        <c:crossBetween val="midCat"/>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v>
            </c:pt>
          </c:strCache>
        </c:strRef>
      </c:tx>
      <c:layout>
        <c:manualLayout>
          <c:xMode val="edge"/>
          <c:yMode val="edge"/>
          <c:x val="3.1305555555555545E-2"/>
          <c:y val="2.7777777777777776E-2"/>
        </c:manualLayout>
      </c:layout>
      <c:overlay val="0"/>
    </c:title>
    <c:autoTitleDeleted val="0"/>
    <c:plotArea>
      <c:layout>
        <c:manualLayout>
          <c:layoutTarget val="inner"/>
          <c:xMode val="edge"/>
          <c:yMode val="edge"/>
          <c:x val="0.16461351706036745"/>
          <c:y val="0.20406277340332457"/>
          <c:w val="0.62165004374453192"/>
          <c:h val="0.59104512977544477"/>
        </c:manualLayout>
      </c:layout>
      <c:scatterChart>
        <c:scatterStyle val="lineMarker"/>
        <c:varyColors val="0"/>
        <c:ser>
          <c:idx val="0"/>
          <c:order val="0"/>
          <c:tx>
            <c:strRef>
              <c:f>Data!$AA$147</c:f>
              <c:strCache>
                <c:ptCount val="1"/>
                <c:pt idx="0">
                  <c:v>Continuous drive</c:v>
                </c:pt>
              </c:strCache>
            </c:strRef>
          </c:tx>
          <c:spPr>
            <a:ln w="19050">
              <a:solidFill>
                <a:schemeClr val="accent1"/>
              </a:solidFill>
            </a:ln>
          </c:spPr>
          <c:marker>
            <c:symbol val="none"/>
          </c:marker>
          <c:xVal>
            <c:numRef>
              <c:f>Data!$U$149:$U$200</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xVal>
          <c:yVal>
            <c:numRef>
              <c:f>Data!$AA$149:$AA$200</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yVal>
          <c:smooth val="0"/>
          <c:extLst>
            <c:ext xmlns:c16="http://schemas.microsoft.com/office/drawing/2014/chart" uri="{C3380CC4-5D6E-409C-BE32-E72D297353CC}">
              <c16:uniqueId val="{00000000-903A-4743-A42D-5B9893EF3125}"/>
            </c:ext>
          </c:extLst>
        </c:ser>
        <c:ser>
          <c:idx val="1"/>
          <c:order val="1"/>
          <c:tx>
            <c:strRef>
              <c:f>Data!$W$147</c:f>
              <c:strCache>
                <c:ptCount val="1"/>
                <c:pt idx="0">
                  <c:v>Cyclic drive</c:v>
                </c:pt>
              </c:strCache>
            </c:strRef>
          </c:tx>
          <c:spPr>
            <a:ln w="22225">
              <a:solidFill>
                <a:schemeClr val="accent2"/>
              </a:solidFill>
            </a:ln>
          </c:spPr>
          <c:marker>
            <c:symbol val="none"/>
          </c:marker>
          <c:xVal>
            <c:numRef>
              <c:f>Data!$X$149:$X$200</c:f>
              <c:numCache>
                <c:formatCode>General</c:formatCode>
                <c:ptCount val="52"/>
                <c:pt idx="0">
                  <c:v>1158</c:v>
                </c:pt>
                <c:pt idx="1">
                  <c:v>1002</c:v>
                </c:pt>
                <c:pt idx="2">
                  <c:v>982</c:v>
                </c:pt>
                <c:pt idx="3">
                  <c:v>961</c:v>
                </c:pt>
                <c:pt idx="4">
                  <c:v>939</c:v>
                </c:pt>
                <c:pt idx="5">
                  <c:v>918</c:v>
                </c:pt>
                <c:pt idx="6">
                  <c:v>896</c:v>
                </c:pt>
                <c:pt idx="7">
                  <c:v>874</c:v>
                </c:pt>
                <c:pt idx="8">
                  <c:v>851</c:v>
                </c:pt>
                <c:pt idx="9">
                  <c:v>828</c:v>
                </c:pt>
                <c:pt idx="10">
                  <c:v>805</c:v>
                </c:pt>
                <c:pt idx="11">
                  <c:v>781</c:v>
                </c:pt>
                <c:pt idx="12">
                  <c:v>758</c:v>
                </c:pt>
                <c:pt idx="13">
                  <c:v>733</c:v>
                </c:pt>
                <c:pt idx="14">
                  <c:v>709</c:v>
                </c:pt>
                <c:pt idx="15">
                  <c:v>684</c:v>
                </c:pt>
                <c:pt idx="16">
                  <c:v>659</c:v>
                </c:pt>
                <c:pt idx="17">
                  <c:v>634</c:v>
                </c:pt>
                <c:pt idx="18">
                  <c:v>608</c:v>
                </c:pt>
                <c:pt idx="19">
                  <c:v>582</c:v>
                </c:pt>
                <c:pt idx="20">
                  <c:v>555</c:v>
                </c:pt>
                <c:pt idx="21">
                  <c:v>529</c:v>
                </c:pt>
                <c:pt idx="22">
                  <c:v>502</c:v>
                </c:pt>
                <c:pt idx="23">
                  <c:v>474</c:v>
                </c:pt>
                <c:pt idx="24">
                  <c:v>447</c:v>
                </c:pt>
                <c:pt idx="25">
                  <c:v>419</c:v>
                </c:pt>
                <c:pt idx="26">
                  <c:v>391</c:v>
                </c:pt>
                <c:pt idx="27">
                  <c:v>362</c:v>
                </c:pt>
                <c:pt idx="28">
                  <c:v>333</c:v>
                </c:pt>
                <c:pt idx="29">
                  <c:v>304</c:v>
                </c:pt>
                <c:pt idx="30">
                  <c:v>275</c:v>
                </c:pt>
                <c:pt idx="31">
                  <c:v>248</c:v>
                </c:pt>
                <c:pt idx="32">
                  <c:v>222</c:v>
                </c:pt>
                <c:pt idx="33">
                  <c:v>195</c:v>
                </c:pt>
                <c:pt idx="34">
                  <c:v>168</c:v>
                </c:pt>
                <c:pt idx="35">
                  <c:v>141</c:v>
                </c:pt>
                <c:pt idx="36">
                  <c:v>113</c:v>
                </c:pt>
                <c:pt idx="37">
                  <c:v>85</c:v>
                </c:pt>
                <c:pt idx="38">
                  <c:v>57</c:v>
                </c:pt>
                <c:pt idx="39">
                  <c:v>29</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Data!$W$149:$W$200</c:f>
              <c:numCache>
                <c:formatCode>0</c:formatCode>
                <c:ptCount val="52"/>
                <c:pt idx="0">
                  <c:v>0</c:v>
                </c:pt>
                <c:pt idx="1">
                  <c:v>858.06666666666661</c:v>
                </c:pt>
                <c:pt idx="2">
                  <c:v>870.8</c:v>
                </c:pt>
                <c:pt idx="3">
                  <c:v>883.7833333333333</c:v>
                </c:pt>
                <c:pt idx="4">
                  <c:v>897.01666666666665</c:v>
                </c:pt>
                <c:pt idx="5">
                  <c:v>910.51666666666677</c:v>
                </c:pt>
                <c:pt idx="6">
                  <c:v>924.2833333333333</c:v>
                </c:pt>
                <c:pt idx="7">
                  <c:v>938.33333333333326</c:v>
                </c:pt>
                <c:pt idx="8">
                  <c:v>952.63333333333333</c:v>
                </c:pt>
                <c:pt idx="9">
                  <c:v>967.2166666666667</c:v>
                </c:pt>
                <c:pt idx="10">
                  <c:v>982.06666666666661</c:v>
                </c:pt>
                <c:pt idx="11">
                  <c:v>997.2</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numCache>
            </c:numRef>
          </c:yVal>
          <c:smooth val="0"/>
          <c:extLst>
            <c:ext xmlns:c16="http://schemas.microsoft.com/office/drawing/2014/chart" uri="{C3380CC4-5D6E-409C-BE32-E72D297353CC}">
              <c16:uniqueId val="{00000001-903A-4743-A42D-5B9893EF3125}"/>
            </c:ext>
          </c:extLst>
        </c:ser>
        <c:dLbls>
          <c:showLegendKey val="0"/>
          <c:showVal val="0"/>
          <c:showCatName val="0"/>
          <c:showSerName val="0"/>
          <c:showPercent val="0"/>
          <c:showBubbleSize val="0"/>
        </c:dLbls>
        <c:axId val="341216256"/>
        <c:axId val="341227008"/>
      </c:scatterChart>
      <c:scatterChart>
        <c:scatterStyle val="lineMarker"/>
        <c:varyColors val="0"/>
        <c:ser>
          <c:idx val="2"/>
          <c:order val="2"/>
          <c:tx>
            <c:v>Motor Cyclic drive</c:v>
          </c:tx>
          <c:spPr>
            <a:ln>
              <a:prstDash val="dash"/>
            </a:ln>
          </c:spPr>
          <c:marker>
            <c:symbol val="none"/>
          </c:marker>
          <c:xVal>
            <c:numRef>
              <c:f>Calc!$B$20:$B$71</c:f>
              <c:numCache>
                <c:formatCode>General</c:formatCode>
                <c:ptCount val="52"/>
                <c:pt idx="0">
                  <c:v>0</c:v>
                </c:pt>
                <c:pt idx="1">
                  <c:v>5148.3999999999996</c:v>
                </c:pt>
                <c:pt idx="2">
                  <c:v>5224.8</c:v>
                </c:pt>
                <c:pt idx="3">
                  <c:v>5302.7</c:v>
                </c:pt>
                <c:pt idx="4">
                  <c:v>5382.1</c:v>
                </c:pt>
                <c:pt idx="5">
                  <c:v>5463.1</c:v>
                </c:pt>
                <c:pt idx="6">
                  <c:v>5545.7</c:v>
                </c:pt>
                <c:pt idx="7">
                  <c:v>5630</c:v>
                </c:pt>
                <c:pt idx="8">
                  <c:v>5715.8</c:v>
                </c:pt>
                <c:pt idx="9">
                  <c:v>5803.3</c:v>
                </c:pt>
                <c:pt idx="10">
                  <c:v>5892.4</c:v>
                </c:pt>
                <c:pt idx="11">
                  <c:v>5983.2</c:v>
                </c:pt>
                <c:pt idx="12">
                  <c:v>6075.6</c:v>
                </c:pt>
                <c:pt idx="13">
                  <c:v>6169.7</c:v>
                </c:pt>
                <c:pt idx="14">
                  <c:v>6265.5</c:v>
                </c:pt>
                <c:pt idx="15">
                  <c:v>6362.9</c:v>
                </c:pt>
                <c:pt idx="16">
                  <c:v>6461.9</c:v>
                </c:pt>
                <c:pt idx="17">
                  <c:v>6562.5</c:v>
                </c:pt>
                <c:pt idx="18">
                  <c:v>6664.7</c:v>
                </c:pt>
                <c:pt idx="19">
                  <c:v>6768.4</c:v>
                </c:pt>
                <c:pt idx="20">
                  <c:v>6873.6</c:v>
                </c:pt>
                <c:pt idx="21">
                  <c:v>6980.1</c:v>
                </c:pt>
                <c:pt idx="22">
                  <c:v>7088</c:v>
                </c:pt>
                <c:pt idx="23">
                  <c:v>7197.1</c:v>
                </c:pt>
                <c:pt idx="24">
                  <c:v>7307.4</c:v>
                </c:pt>
                <c:pt idx="25">
                  <c:v>7418.7</c:v>
                </c:pt>
                <c:pt idx="26">
                  <c:v>7530.8</c:v>
                </c:pt>
                <c:pt idx="27">
                  <c:v>7643.7</c:v>
                </c:pt>
                <c:pt idx="28">
                  <c:v>7757.2</c:v>
                </c:pt>
                <c:pt idx="29">
                  <c:v>7871.1</c:v>
                </c:pt>
                <c:pt idx="30">
                  <c:v>7985.2</c:v>
                </c:pt>
                <c:pt idx="31">
                  <c:v>8000</c:v>
                </c:pt>
                <c:pt idx="32">
                  <c:v>8000</c:v>
                </c:pt>
                <c:pt idx="33">
                  <c:v>8000</c:v>
                </c:pt>
                <c:pt idx="34">
                  <c:v>8000</c:v>
                </c:pt>
                <c:pt idx="35">
                  <c:v>8000</c:v>
                </c:pt>
                <c:pt idx="36">
                  <c:v>8000</c:v>
                </c:pt>
                <c:pt idx="37">
                  <c:v>8000</c:v>
                </c:pt>
                <c:pt idx="38">
                  <c:v>8000</c:v>
                </c:pt>
                <c:pt idx="39">
                  <c:v>8000</c:v>
                </c:pt>
                <c:pt idx="40">
                  <c:v>8000</c:v>
                </c:pt>
                <c:pt idx="41">
                  <c:v>8000</c:v>
                </c:pt>
                <c:pt idx="42">
                  <c:v>8000</c:v>
                </c:pt>
                <c:pt idx="43">
                  <c:v>8000</c:v>
                </c:pt>
                <c:pt idx="44">
                  <c:v>8000</c:v>
                </c:pt>
                <c:pt idx="45">
                  <c:v>8000</c:v>
                </c:pt>
                <c:pt idx="46">
                  <c:v>8000</c:v>
                </c:pt>
                <c:pt idx="47">
                  <c:v>8000</c:v>
                </c:pt>
                <c:pt idx="48">
                  <c:v>8000</c:v>
                </c:pt>
                <c:pt idx="49">
                  <c:v>8000</c:v>
                </c:pt>
                <c:pt idx="50">
                  <c:v>8000</c:v>
                </c:pt>
                <c:pt idx="51">
                  <c:v>8000</c:v>
                </c:pt>
              </c:numCache>
            </c:numRef>
          </c:xVal>
          <c:yVal>
            <c:numRef>
              <c:f>Calc!$A$20:$A$71</c:f>
              <c:numCache>
                <c:formatCode>General</c:formatCode>
                <c:ptCount val="52"/>
                <c:pt idx="0">
                  <c:v>2.7600000000000002</c:v>
                </c:pt>
                <c:pt idx="1">
                  <c:v>2.7600000000000002</c:v>
                </c:pt>
                <c:pt idx="2">
                  <c:v>2.7194116923076921</c:v>
                </c:pt>
                <c:pt idx="3">
                  <c:v>2.6782269890109891</c:v>
                </c:pt>
                <c:pt idx="4">
                  <c:v>2.6364458901098904</c:v>
                </c:pt>
                <c:pt idx="5">
                  <c:v>2.5940683956043955</c:v>
                </c:pt>
                <c:pt idx="6">
                  <c:v>2.5510945054945053</c:v>
                </c:pt>
                <c:pt idx="7">
                  <c:v>2.5075242197802194</c:v>
                </c:pt>
                <c:pt idx="8">
                  <c:v>2.4633575384615383</c:v>
                </c:pt>
                <c:pt idx="9">
                  <c:v>2.4185944615384618</c:v>
                </c:pt>
                <c:pt idx="10">
                  <c:v>2.3732349890109892</c:v>
                </c:pt>
                <c:pt idx="11">
                  <c:v>2.3272791208791213</c:v>
                </c:pt>
                <c:pt idx="12">
                  <c:v>2.2807268571428576</c:v>
                </c:pt>
                <c:pt idx="13">
                  <c:v>2.2335781978021974</c:v>
                </c:pt>
                <c:pt idx="14">
                  <c:v>2.1858331428571427</c:v>
                </c:pt>
                <c:pt idx="15">
                  <c:v>2.1374916923076923</c:v>
                </c:pt>
                <c:pt idx="16">
                  <c:v>2.0885538461538462</c:v>
                </c:pt>
                <c:pt idx="17">
                  <c:v>2.0390196043956044</c:v>
                </c:pt>
                <c:pt idx="18">
                  <c:v>1.9888889670329672</c:v>
                </c:pt>
                <c:pt idx="19">
                  <c:v>1.938161934065934</c:v>
                </c:pt>
                <c:pt idx="20">
                  <c:v>1.8868385054945054</c:v>
                </c:pt>
                <c:pt idx="21">
                  <c:v>1.8349186813186811</c:v>
                </c:pt>
                <c:pt idx="22">
                  <c:v>1.7824024615384615</c:v>
                </c:pt>
                <c:pt idx="23">
                  <c:v>1.7292898461538462</c:v>
                </c:pt>
                <c:pt idx="24">
                  <c:v>1.6755808351648354</c:v>
                </c:pt>
                <c:pt idx="25">
                  <c:v>1.6212754285714288</c:v>
                </c:pt>
                <c:pt idx="26">
                  <c:v>1.5663736263736265</c:v>
                </c:pt>
                <c:pt idx="27">
                  <c:v>1.5108754285714285</c:v>
                </c:pt>
                <c:pt idx="28">
                  <c:v>1.4547808351648353</c:v>
                </c:pt>
                <c:pt idx="29">
                  <c:v>1.398089846153846</c:v>
                </c:pt>
                <c:pt idx="30">
                  <c:v>1.3408024615384615</c:v>
                </c:pt>
                <c:pt idx="31">
                  <c:v>1.2829186813186786</c:v>
                </c:pt>
                <c:pt idx="32">
                  <c:v>1.2244385054945026</c:v>
                </c:pt>
                <c:pt idx="33">
                  <c:v>1.1653619340659311</c:v>
                </c:pt>
                <c:pt idx="34">
                  <c:v>1.1056889670329642</c:v>
                </c:pt>
                <c:pt idx="35">
                  <c:v>1.0454196043956014</c:v>
                </c:pt>
                <c:pt idx="36">
                  <c:v>0.98455384615384289</c:v>
                </c:pt>
                <c:pt idx="37">
                  <c:v>0.92309169230768928</c:v>
                </c:pt>
                <c:pt idx="38">
                  <c:v>0.86103314285713972</c:v>
                </c:pt>
                <c:pt idx="39">
                  <c:v>0.79837819780219466</c:v>
                </c:pt>
                <c:pt idx="40">
                  <c:v>0.73512685714285386</c:v>
                </c:pt>
                <c:pt idx="41">
                  <c:v>0.67127912087911767</c:v>
                </c:pt>
                <c:pt idx="42">
                  <c:v>0.60683498901098565</c:v>
                </c:pt>
                <c:pt idx="43">
                  <c:v>0.54179446153845823</c:v>
                </c:pt>
                <c:pt idx="44">
                  <c:v>0.47615753846153508</c:v>
                </c:pt>
                <c:pt idx="45">
                  <c:v>0.40992421978021643</c:v>
                </c:pt>
                <c:pt idx="46">
                  <c:v>0.3430945054945021</c:v>
                </c:pt>
                <c:pt idx="47">
                  <c:v>0.27566839560439221</c:v>
                </c:pt>
                <c:pt idx="48">
                  <c:v>0.20764589010988635</c:v>
                </c:pt>
                <c:pt idx="49">
                  <c:v>0.13902698901098556</c:v>
                </c:pt>
                <c:pt idx="50">
                  <c:v>6.9811692307688827E-2</c:v>
                </c:pt>
                <c:pt idx="51">
                  <c:v>0</c:v>
                </c:pt>
              </c:numCache>
            </c:numRef>
          </c:yVal>
          <c:smooth val="0"/>
          <c:extLst>
            <c:ext xmlns:c16="http://schemas.microsoft.com/office/drawing/2014/chart" uri="{C3380CC4-5D6E-409C-BE32-E72D297353CC}">
              <c16:uniqueId val="{00000002-903A-4743-A42D-5B9893EF3125}"/>
            </c:ext>
          </c:extLst>
        </c:ser>
        <c:ser>
          <c:idx val="3"/>
          <c:order val="3"/>
          <c:tx>
            <c:v>Motor Continuous drive</c:v>
          </c:tx>
          <c:spPr>
            <a:ln>
              <a:prstDash val="dash"/>
            </a:ln>
          </c:spPr>
          <c:marker>
            <c:symbol val="none"/>
          </c:marker>
          <c:xVal>
            <c:numRef>
              <c:f>Calc!$B$86:$B$137</c:f>
              <c:numCache>
                <c:formatCode>General</c:formatCode>
                <c:ptCount val="52"/>
                <c:pt idx="0">
                  <c:v>0</c:v>
                </c:pt>
                <c:pt idx="1">
                  <c:v>160</c:v>
                </c:pt>
                <c:pt idx="2" formatCode="0.00">
                  <c:v>320</c:v>
                </c:pt>
                <c:pt idx="3" formatCode="0.00">
                  <c:v>480</c:v>
                </c:pt>
                <c:pt idx="4" formatCode="0.00">
                  <c:v>640</c:v>
                </c:pt>
                <c:pt idx="5" formatCode="0.00">
                  <c:v>800</c:v>
                </c:pt>
                <c:pt idx="6" formatCode="0.00">
                  <c:v>960</c:v>
                </c:pt>
                <c:pt idx="7" formatCode="0.00">
                  <c:v>1120</c:v>
                </c:pt>
                <c:pt idx="8" formatCode="0.00">
                  <c:v>1280</c:v>
                </c:pt>
                <c:pt idx="9" formatCode="0.00">
                  <c:v>1440</c:v>
                </c:pt>
                <c:pt idx="10" formatCode="0.00">
                  <c:v>1600</c:v>
                </c:pt>
                <c:pt idx="11" formatCode="0.00">
                  <c:v>1760</c:v>
                </c:pt>
                <c:pt idx="12" formatCode="0.00">
                  <c:v>1920</c:v>
                </c:pt>
                <c:pt idx="13" formatCode="0.00">
                  <c:v>2080</c:v>
                </c:pt>
                <c:pt idx="14" formatCode="0.00">
                  <c:v>2240</c:v>
                </c:pt>
                <c:pt idx="15" formatCode="0.00">
                  <c:v>2400</c:v>
                </c:pt>
                <c:pt idx="16" formatCode="0.00">
                  <c:v>2560</c:v>
                </c:pt>
                <c:pt idx="17" formatCode="0.00">
                  <c:v>2720</c:v>
                </c:pt>
                <c:pt idx="18" formatCode="0.00">
                  <c:v>2880</c:v>
                </c:pt>
                <c:pt idx="19" formatCode="0.00">
                  <c:v>3040</c:v>
                </c:pt>
                <c:pt idx="20" formatCode="0.00">
                  <c:v>3200</c:v>
                </c:pt>
                <c:pt idx="21" formatCode="0.00">
                  <c:v>3360</c:v>
                </c:pt>
                <c:pt idx="22" formatCode="0.00">
                  <c:v>3520</c:v>
                </c:pt>
                <c:pt idx="23" formatCode="0.00">
                  <c:v>3680</c:v>
                </c:pt>
                <c:pt idx="24" formatCode="0.00">
                  <c:v>3840</c:v>
                </c:pt>
                <c:pt idx="25" formatCode="0.00">
                  <c:v>4000</c:v>
                </c:pt>
                <c:pt idx="26" formatCode="0.00">
                  <c:v>4160</c:v>
                </c:pt>
                <c:pt idx="27" formatCode="0.00">
                  <c:v>4320</c:v>
                </c:pt>
                <c:pt idx="28" formatCode="0.00">
                  <c:v>4480</c:v>
                </c:pt>
                <c:pt idx="29" formatCode="0.00">
                  <c:v>4640</c:v>
                </c:pt>
                <c:pt idx="30" formatCode="0.00">
                  <c:v>4800</c:v>
                </c:pt>
                <c:pt idx="31" formatCode="0.00">
                  <c:v>4960</c:v>
                </c:pt>
                <c:pt idx="32" formatCode="0.00">
                  <c:v>5120</c:v>
                </c:pt>
                <c:pt idx="33" formatCode="0.00">
                  <c:v>5280</c:v>
                </c:pt>
                <c:pt idx="34" formatCode="0.00">
                  <c:v>5440</c:v>
                </c:pt>
                <c:pt idx="35" formatCode="0.00">
                  <c:v>5600</c:v>
                </c:pt>
                <c:pt idx="36" formatCode="0.00">
                  <c:v>5760</c:v>
                </c:pt>
                <c:pt idx="37" formatCode="0.00">
                  <c:v>5920</c:v>
                </c:pt>
                <c:pt idx="38" formatCode="0.00">
                  <c:v>6080</c:v>
                </c:pt>
                <c:pt idx="39" formatCode="0.00">
                  <c:v>6240</c:v>
                </c:pt>
                <c:pt idx="40" formatCode="0.00">
                  <c:v>6400</c:v>
                </c:pt>
                <c:pt idx="41" formatCode="0.00">
                  <c:v>6560</c:v>
                </c:pt>
                <c:pt idx="42" formatCode="0.00">
                  <c:v>6720</c:v>
                </c:pt>
                <c:pt idx="43" formatCode="0.00">
                  <c:v>6880</c:v>
                </c:pt>
                <c:pt idx="44" formatCode="0.00">
                  <c:v>7040</c:v>
                </c:pt>
                <c:pt idx="45" formatCode="0.00">
                  <c:v>7200</c:v>
                </c:pt>
                <c:pt idx="46" formatCode="0.00">
                  <c:v>7360</c:v>
                </c:pt>
                <c:pt idx="47" formatCode="0.00">
                  <c:v>7520</c:v>
                </c:pt>
                <c:pt idx="48" formatCode="0.00">
                  <c:v>7680</c:v>
                </c:pt>
                <c:pt idx="49" formatCode="0.00">
                  <c:v>7840</c:v>
                </c:pt>
                <c:pt idx="50">
                  <c:v>8000</c:v>
                </c:pt>
                <c:pt idx="51">
                  <c:v>8000</c:v>
                </c:pt>
              </c:numCache>
            </c:numRef>
          </c:xVal>
          <c:yVal>
            <c:numRef>
              <c:f>Calc!$A$86:$A$137</c:f>
              <c:numCache>
                <c:formatCode>General</c:formatCode>
                <c:ptCount val="52"/>
                <c:pt idx="0">
                  <c:v>0.87</c:v>
                </c:pt>
                <c:pt idx="1">
                  <c:v>0.86680000000000001</c:v>
                </c:pt>
                <c:pt idx="2">
                  <c:v>0.86360000000000003</c:v>
                </c:pt>
                <c:pt idx="3">
                  <c:v>0.86040000000000005</c:v>
                </c:pt>
                <c:pt idx="4">
                  <c:v>0.85720000000000007</c:v>
                </c:pt>
                <c:pt idx="5">
                  <c:v>0.85400000000000009</c:v>
                </c:pt>
                <c:pt idx="6">
                  <c:v>0.85080000000000011</c:v>
                </c:pt>
                <c:pt idx="7">
                  <c:v>0.84824000000000011</c:v>
                </c:pt>
                <c:pt idx="8">
                  <c:v>0.8456800000000001</c:v>
                </c:pt>
                <c:pt idx="9">
                  <c:v>0.84312000000000009</c:v>
                </c:pt>
                <c:pt idx="10">
                  <c:v>0.84056000000000008</c:v>
                </c:pt>
                <c:pt idx="11">
                  <c:v>0.83800000000000008</c:v>
                </c:pt>
                <c:pt idx="12">
                  <c:v>0.83544000000000007</c:v>
                </c:pt>
                <c:pt idx="13">
                  <c:v>0.83288000000000006</c:v>
                </c:pt>
                <c:pt idx="14">
                  <c:v>0.83032000000000006</c:v>
                </c:pt>
                <c:pt idx="15">
                  <c:v>0.82776000000000005</c:v>
                </c:pt>
                <c:pt idx="16">
                  <c:v>0.82520000000000004</c:v>
                </c:pt>
                <c:pt idx="17">
                  <c:v>0.82264000000000004</c:v>
                </c:pt>
                <c:pt idx="18">
                  <c:v>0.82008000000000003</c:v>
                </c:pt>
                <c:pt idx="19">
                  <c:v>0.81752000000000002</c:v>
                </c:pt>
                <c:pt idx="20">
                  <c:v>0.81496000000000002</c:v>
                </c:pt>
                <c:pt idx="21">
                  <c:v>0.81240000000000001</c:v>
                </c:pt>
                <c:pt idx="22">
                  <c:v>0.80848888888888892</c:v>
                </c:pt>
                <c:pt idx="23">
                  <c:v>0.80457777777777784</c:v>
                </c:pt>
                <c:pt idx="24">
                  <c:v>0.80066666666666675</c:v>
                </c:pt>
                <c:pt idx="25">
                  <c:v>0.79675555555555566</c:v>
                </c:pt>
                <c:pt idx="26">
                  <c:v>0.79284444444444457</c:v>
                </c:pt>
                <c:pt idx="27">
                  <c:v>0.78893333333333349</c:v>
                </c:pt>
                <c:pt idx="28">
                  <c:v>0.7850222222222224</c:v>
                </c:pt>
                <c:pt idx="29">
                  <c:v>0.78111111111111131</c:v>
                </c:pt>
                <c:pt idx="30">
                  <c:v>0.77720000000000022</c:v>
                </c:pt>
                <c:pt idx="31">
                  <c:v>0.77328888888888914</c:v>
                </c:pt>
                <c:pt idx="32">
                  <c:v>0.76937777777777805</c:v>
                </c:pt>
                <c:pt idx="33">
                  <c:v>0.76546666666666696</c:v>
                </c:pt>
                <c:pt idx="34">
                  <c:v>0.76155555555555587</c:v>
                </c:pt>
                <c:pt idx="35">
                  <c:v>0.75764444444444479</c:v>
                </c:pt>
                <c:pt idx="36">
                  <c:v>0.7537333333333337</c:v>
                </c:pt>
                <c:pt idx="37">
                  <c:v>0.74982222222222261</c:v>
                </c:pt>
                <c:pt idx="38">
                  <c:v>0.74591111111111152</c:v>
                </c:pt>
                <c:pt idx="39">
                  <c:v>0.74200000000000044</c:v>
                </c:pt>
                <c:pt idx="40">
                  <c:v>0.73808888888888935</c:v>
                </c:pt>
                <c:pt idx="41">
                  <c:v>0.73417777777777826</c:v>
                </c:pt>
                <c:pt idx="42">
                  <c:v>0.73026666666666717</c:v>
                </c:pt>
                <c:pt idx="43">
                  <c:v>0.72635555555555609</c:v>
                </c:pt>
                <c:pt idx="44">
                  <c:v>0.722444444444445</c:v>
                </c:pt>
                <c:pt idx="45">
                  <c:v>0.71853333333333391</c:v>
                </c:pt>
                <c:pt idx="46">
                  <c:v>0.71462222222222282</c:v>
                </c:pt>
                <c:pt idx="47">
                  <c:v>0.71071111111111174</c:v>
                </c:pt>
                <c:pt idx="48">
                  <c:v>0.70680000000000065</c:v>
                </c:pt>
                <c:pt idx="49">
                  <c:v>0.70288888888888956</c:v>
                </c:pt>
                <c:pt idx="50">
                  <c:v>0.7</c:v>
                </c:pt>
                <c:pt idx="51">
                  <c:v>0</c:v>
                </c:pt>
              </c:numCache>
            </c:numRef>
          </c:yVal>
          <c:smooth val="0"/>
          <c:extLst>
            <c:ext xmlns:c16="http://schemas.microsoft.com/office/drawing/2014/chart" uri="{C3380CC4-5D6E-409C-BE32-E72D297353CC}">
              <c16:uniqueId val="{00000003-903A-4743-A42D-5B9893EF3125}"/>
            </c:ext>
          </c:extLst>
        </c:ser>
        <c:ser>
          <c:idx val="4"/>
          <c:order val="4"/>
          <c:tx>
            <c:v>Working point</c:v>
          </c:tx>
          <c:spPr>
            <a:ln>
              <a:noFill/>
            </a:ln>
          </c:spPr>
          <c:marker>
            <c:symbol val="diamond"/>
            <c:size val="9"/>
            <c:spPr>
              <a:solidFill>
                <a:srgbClr val="FF0000"/>
              </a:solidFill>
              <a:ln>
                <a:noFill/>
              </a:ln>
            </c:spPr>
          </c:marker>
          <c:xVal>
            <c:numRef>
              <c:f>Data!$V$124</c:f>
              <c:numCache>
                <c:formatCode>0</c:formatCode>
                <c:ptCount val="1"/>
                <c:pt idx="0">
                  <c:v>0.10169663892608348</c:v>
                </c:pt>
              </c:numCache>
            </c:numRef>
          </c:xVal>
          <c:yVal>
            <c:numRef>
              <c:f>Data!$U$124</c:f>
              <c:numCache>
                <c:formatCode>General</c:formatCode>
                <c:ptCount val="1"/>
                <c:pt idx="0">
                  <c:v>2.6394005504473489E-2</c:v>
                </c:pt>
              </c:numCache>
            </c:numRef>
          </c:yVal>
          <c:smooth val="0"/>
          <c:extLst>
            <c:ext xmlns:c16="http://schemas.microsoft.com/office/drawing/2014/chart" uri="{C3380CC4-5D6E-409C-BE32-E72D297353CC}">
              <c16:uniqueId val="{00000004-903A-4743-A42D-5B9893EF3125}"/>
            </c:ext>
          </c:extLst>
        </c:ser>
        <c:dLbls>
          <c:showLegendKey val="0"/>
          <c:showVal val="0"/>
          <c:showCatName val="0"/>
          <c:showSerName val="0"/>
          <c:showPercent val="0"/>
          <c:showBubbleSize val="0"/>
        </c:dLbls>
        <c:axId val="341231104"/>
        <c:axId val="341228928"/>
      </c:scatterChart>
      <c:valAx>
        <c:axId val="341216256"/>
        <c:scaling>
          <c:orientation val="minMax"/>
        </c:scaling>
        <c:delete val="0"/>
        <c:axPos val="b"/>
        <c:title>
          <c:tx>
            <c:rich>
              <a:bodyPr/>
              <a:lstStyle/>
              <a:p>
                <a:pPr>
                  <a:defRPr/>
                </a:pPr>
                <a:r>
                  <a:rPr lang="sv-SE"/>
                  <a:t>Speed (mm/s)</a:t>
                </a:r>
              </a:p>
            </c:rich>
          </c:tx>
          <c:overlay val="0"/>
        </c:title>
        <c:numFmt formatCode="General" sourceLinked="1"/>
        <c:majorTickMark val="out"/>
        <c:minorTickMark val="none"/>
        <c:tickLblPos val="nextTo"/>
        <c:crossAx val="341227008"/>
        <c:crosses val="autoZero"/>
        <c:crossBetween val="midCat"/>
      </c:valAx>
      <c:valAx>
        <c:axId val="341227008"/>
        <c:scaling>
          <c:orientation val="minMax"/>
        </c:scaling>
        <c:delete val="0"/>
        <c:axPos val="l"/>
        <c:majorGridlines/>
        <c:title>
          <c:tx>
            <c:rich>
              <a:bodyPr rot="-5400000" vert="horz"/>
              <a:lstStyle/>
              <a:p>
                <a:pPr>
                  <a:defRPr/>
                </a:pPr>
                <a:r>
                  <a:rPr lang="sv-SE"/>
                  <a:t>Load</a:t>
                </a:r>
                <a:r>
                  <a:rPr lang="sv-SE" baseline="0"/>
                  <a:t> (N)</a:t>
                </a:r>
                <a:endParaRPr lang="sv-SE"/>
              </a:p>
            </c:rich>
          </c:tx>
          <c:overlay val="0"/>
        </c:title>
        <c:numFmt formatCode="General" sourceLinked="1"/>
        <c:majorTickMark val="out"/>
        <c:minorTickMark val="none"/>
        <c:tickLblPos val="nextTo"/>
        <c:crossAx val="341216256"/>
        <c:crosses val="autoZero"/>
        <c:crossBetween val="midCat"/>
      </c:valAx>
      <c:valAx>
        <c:axId val="341228928"/>
        <c:scaling>
          <c:orientation val="minMax"/>
        </c:scaling>
        <c:delete val="0"/>
        <c:axPos val="r"/>
        <c:title>
          <c:tx>
            <c:rich>
              <a:bodyPr rot="-5400000" vert="horz"/>
              <a:lstStyle/>
              <a:p>
                <a:pPr>
                  <a:defRPr/>
                </a:pPr>
                <a:r>
                  <a:rPr lang="sv-SE"/>
                  <a:t>Motor Torque (Nm)</a:t>
                </a:r>
              </a:p>
            </c:rich>
          </c:tx>
          <c:overlay val="0"/>
        </c:title>
        <c:numFmt formatCode="General" sourceLinked="1"/>
        <c:majorTickMark val="out"/>
        <c:minorTickMark val="none"/>
        <c:tickLblPos val="nextTo"/>
        <c:crossAx val="341231104"/>
        <c:crosses val="max"/>
        <c:crossBetween val="midCat"/>
      </c:valAx>
      <c:valAx>
        <c:axId val="341231104"/>
        <c:scaling>
          <c:orientation val="minMax"/>
        </c:scaling>
        <c:delete val="0"/>
        <c:axPos val="t"/>
        <c:title>
          <c:tx>
            <c:rich>
              <a:bodyPr/>
              <a:lstStyle/>
              <a:p>
                <a:pPr>
                  <a:defRPr/>
                </a:pPr>
                <a:r>
                  <a:rPr lang="sv-SE"/>
                  <a:t>Motor</a:t>
                </a:r>
                <a:r>
                  <a:rPr lang="sv-SE" baseline="0"/>
                  <a:t> </a:t>
                </a:r>
                <a:r>
                  <a:rPr lang="sv-SE"/>
                  <a:t>Speed (rpm)</a:t>
                </a:r>
              </a:p>
            </c:rich>
          </c:tx>
          <c:overlay val="0"/>
        </c:title>
        <c:numFmt formatCode="General" sourceLinked="1"/>
        <c:majorTickMark val="out"/>
        <c:minorTickMark val="none"/>
        <c:tickLblPos val="nextTo"/>
        <c:crossAx val="341228928"/>
        <c:crosses val="max"/>
        <c:crossBetween val="midCat"/>
      </c:valAx>
    </c:plotArea>
    <c:legend>
      <c:legendPos val="r"/>
      <c:layout>
        <c:manualLayout>
          <c:xMode val="edge"/>
          <c:yMode val="edge"/>
          <c:x val="0.12452749391253896"/>
          <c:y val="0.87696002495082381"/>
          <c:w val="0.78225209681056529"/>
          <c:h val="9.4277044804545754E-2"/>
        </c:manualLayout>
      </c:layout>
      <c:overlay val="0"/>
    </c:legend>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PC40 + </a:t>
            </a:r>
          </a:p>
        </c:rich>
      </c:tx>
      <c:layout>
        <c:manualLayout>
          <c:xMode val="edge"/>
          <c:yMode val="edge"/>
          <c:x val="0.23834711286089239"/>
          <c:y val="2.7777777777777776E-2"/>
        </c:manualLayout>
      </c:layout>
      <c:overlay val="0"/>
    </c:title>
    <c:autoTitleDeleted val="0"/>
    <c:plotArea>
      <c:layout/>
      <c:scatterChart>
        <c:scatterStyle val="lineMarker"/>
        <c:varyColors val="0"/>
        <c:ser>
          <c:idx val="0"/>
          <c:order val="0"/>
          <c:tx>
            <c:v>Lead 20 mm</c:v>
          </c:tx>
          <c:spPr>
            <a:ln w="19050"/>
          </c:spPr>
          <c:marker>
            <c:symbol val="none"/>
          </c:marker>
          <c:xVal>
            <c:numRef>
              <c:f>'PC40 Graphs'!$C$5:$C$56</c:f>
              <c:numCache>
                <c:formatCode>General</c:formatCode>
                <c:ptCount val="52"/>
                <c:pt idx="0">
                  <c:v>121</c:v>
                </c:pt>
                <c:pt idx="1">
                  <c:v>115</c:v>
                </c:pt>
                <c:pt idx="2">
                  <c:v>110</c:v>
                </c:pt>
                <c:pt idx="3">
                  <c:v>104</c:v>
                </c:pt>
                <c:pt idx="4">
                  <c:v>99</c:v>
                </c:pt>
                <c:pt idx="5">
                  <c:v>93</c:v>
                </c:pt>
                <c:pt idx="6">
                  <c:v>88</c:v>
                </c:pt>
                <c:pt idx="7">
                  <c:v>82</c:v>
                </c:pt>
                <c:pt idx="8">
                  <c:v>77</c:v>
                </c:pt>
                <c:pt idx="9">
                  <c:v>71</c:v>
                </c:pt>
                <c:pt idx="10">
                  <c:v>66</c:v>
                </c:pt>
                <c:pt idx="11">
                  <c:v>61</c:v>
                </c:pt>
                <c:pt idx="12">
                  <c:v>55</c:v>
                </c:pt>
                <c:pt idx="13">
                  <c:v>50</c:v>
                </c:pt>
                <c:pt idx="14">
                  <c:v>44</c:v>
                </c:pt>
                <c:pt idx="15">
                  <c:v>39</c:v>
                </c:pt>
                <c:pt idx="16">
                  <c:v>34</c:v>
                </c:pt>
                <c:pt idx="17">
                  <c:v>28</c:v>
                </c:pt>
                <c:pt idx="18">
                  <c:v>23</c:v>
                </c:pt>
                <c:pt idx="19">
                  <c:v>17</c:v>
                </c:pt>
                <c:pt idx="20">
                  <c:v>12</c:v>
                </c:pt>
                <c:pt idx="21">
                  <c:v>7</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'PC40 Graphs'!$B$5:$B$56</c:f>
              <c:numCache>
                <c:formatCode>0</c:formatCode>
                <c:ptCount val="52"/>
                <c:pt idx="0" formatCode="General">
                  <c:v>0</c:v>
                </c:pt>
                <c:pt idx="1">
                  <c:v>53.333333333333329</c:v>
                </c:pt>
                <c:pt idx="2">
                  <c:v>106.66666666666666</c:v>
                </c:pt>
                <c:pt idx="3">
                  <c:v>160</c:v>
                </c:pt>
                <c:pt idx="4">
                  <c:v>213.33333333333331</c:v>
                </c:pt>
                <c:pt idx="5">
                  <c:v>266.66666666666669</c:v>
                </c:pt>
                <c:pt idx="6">
                  <c:v>320</c:v>
                </c:pt>
                <c:pt idx="7">
                  <c:v>373.33333333333337</c:v>
                </c:pt>
                <c:pt idx="8">
                  <c:v>426.66666666666663</c:v>
                </c:pt>
                <c:pt idx="9">
                  <c:v>480</c:v>
                </c:pt>
                <c:pt idx="10">
                  <c:v>533.33333333333337</c:v>
                </c:pt>
                <c:pt idx="11">
                  <c:v>586.66666666666663</c:v>
                </c:pt>
                <c:pt idx="12">
                  <c:v>640</c:v>
                </c:pt>
                <c:pt idx="13">
                  <c:v>693.33333333333326</c:v>
                </c:pt>
                <c:pt idx="14">
                  <c:v>746.66666666666674</c:v>
                </c:pt>
                <c:pt idx="15">
                  <c:v>800</c:v>
                </c:pt>
                <c:pt idx="16">
                  <c:v>853.33333333333326</c:v>
                </c:pt>
                <c:pt idx="17">
                  <c:v>906.66666666666674</c:v>
                </c:pt>
                <c:pt idx="18">
                  <c:v>960</c:v>
                </c:pt>
                <c:pt idx="19">
                  <c:v>1013.3333333333333</c:v>
                </c:pt>
                <c:pt idx="20">
                  <c:v>1066.6666666666667</c:v>
                </c:pt>
                <c:pt idx="21">
                  <c:v>1120</c:v>
                </c:pt>
                <c:pt idx="22">
                  <c:v>1173.3333333333333</c:v>
                </c:pt>
                <c:pt idx="23">
                  <c:v>1226.6666666666667</c:v>
                </c:pt>
                <c:pt idx="24">
                  <c:v>1280</c:v>
                </c:pt>
                <c:pt idx="25">
                  <c:v>1333.3333333333335</c:v>
                </c:pt>
                <c:pt idx="26">
                  <c:v>1386.6666666666665</c:v>
                </c:pt>
                <c:pt idx="27">
                  <c:v>1440</c:v>
                </c:pt>
                <c:pt idx="28">
                  <c:v>1493.3333333333335</c:v>
                </c:pt>
                <c:pt idx="29">
                  <c:v>1546.6666666666665</c:v>
                </c:pt>
                <c:pt idx="30">
                  <c:v>1600</c:v>
                </c:pt>
                <c:pt idx="31">
                  <c:v>1653.3333333333335</c:v>
                </c:pt>
                <c:pt idx="32">
                  <c:v>1653.3333333333335</c:v>
                </c:pt>
                <c:pt idx="33">
                  <c:v>1653.3333333333335</c:v>
                </c:pt>
                <c:pt idx="34">
                  <c:v>1653.3333333333335</c:v>
                </c:pt>
                <c:pt idx="35">
                  <c:v>1653.3333333333335</c:v>
                </c:pt>
                <c:pt idx="36">
                  <c:v>1653.3333333333335</c:v>
                </c:pt>
                <c:pt idx="37">
                  <c:v>1653.3333333333335</c:v>
                </c:pt>
                <c:pt idx="38">
                  <c:v>1653.3333333333335</c:v>
                </c:pt>
                <c:pt idx="39">
                  <c:v>1653.3333333333335</c:v>
                </c:pt>
                <c:pt idx="40">
                  <c:v>1653.3333333333335</c:v>
                </c:pt>
                <c:pt idx="41">
                  <c:v>1653.3333333333335</c:v>
                </c:pt>
                <c:pt idx="42">
                  <c:v>1653.3333333333335</c:v>
                </c:pt>
                <c:pt idx="43">
                  <c:v>1653.3333333333335</c:v>
                </c:pt>
                <c:pt idx="44">
                  <c:v>1653.3333333333335</c:v>
                </c:pt>
                <c:pt idx="45">
                  <c:v>1653.3333333333335</c:v>
                </c:pt>
                <c:pt idx="46">
                  <c:v>1653.3333333333335</c:v>
                </c:pt>
                <c:pt idx="47">
                  <c:v>1653.3333333333335</c:v>
                </c:pt>
                <c:pt idx="48">
                  <c:v>1653.3333333333335</c:v>
                </c:pt>
                <c:pt idx="49">
                  <c:v>1653.3333333333335</c:v>
                </c:pt>
                <c:pt idx="50">
                  <c:v>1653.3333333333335</c:v>
                </c:pt>
                <c:pt idx="51">
                  <c:v>1653.3333333333335</c:v>
                </c:pt>
              </c:numCache>
            </c:numRef>
          </c:yVal>
          <c:smooth val="0"/>
          <c:extLst>
            <c:ext xmlns:c16="http://schemas.microsoft.com/office/drawing/2014/chart" uri="{C3380CC4-5D6E-409C-BE32-E72D297353CC}">
              <c16:uniqueId val="{00000000-531A-4025-970E-9B01D7B8F976}"/>
            </c:ext>
          </c:extLst>
        </c:ser>
        <c:ser>
          <c:idx val="1"/>
          <c:order val="1"/>
          <c:tx>
            <c:v>Lead 10 mm</c:v>
          </c:tx>
          <c:spPr>
            <a:ln w="19050"/>
          </c:spPr>
          <c:marker>
            <c:symbol val="none"/>
          </c:marker>
          <c:xVal>
            <c:numRef>
              <c:f>'PC40 Graphs'!$E$5:$E$56</c:f>
              <c:numCache>
                <c:formatCode>General</c:formatCode>
                <c:ptCount val="52"/>
                <c:pt idx="0">
                  <c:v>293</c:v>
                </c:pt>
                <c:pt idx="1">
                  <c:v>285</c:v>
                </c:pt>
                <c:pt idx="2">
                  <c:v>277</c:v>
                </c:pt>
                <c:pt idx="3">
                  <c:v>269</c:v>
                </c:pt>
                <c:pt idx="4">
                  <c:v>261</c:v>
                </c:pt>
                <c:pt idx="5">
                  <c:v>253</c:v>
                </c:pt>
                <c:pt idx="6">
                  <c:v>245</c:v>
                </c:pt>
                <c:pt idx="7">
                  <c:v>238</c:v>
                </c:pt>
                <c:pt idx="8">
                  <c:v>230</c:v>
                </c:pt>
                <c:pt idx="9">
                  <c:v>222</c:v>
                </c:pt>
                <c:pt idx="10">
                  <c:v>215</c:v>
                </c:pt>
                <c:pt idx="11">
                  <c:v>207</c:v>
                </c:pt>
                <c:pt idx="12">
                  <c:v>200</c:v>
                </c:pt>
                <c:pt idx="13">
                  <c:v>192</c:v>
                </c:pt>
                <c:pt idx="14">
                  <c:v>185</c:v>
                </c:pt>
                <c:pt idx="15">
                  <c:v>177</c:v>
                </c:pt>
                <c:pt idx="16">
                  <c:v>169</c:v>
                </c:pt>
                <c:pt idx="17">
                  <c:v>162</c:v>
                </c:pt>
                <c:pt idx="18">
                  <c:v>154</c:v>
                </c:pt>
                <c:pt idx="19">
                  <c:v>147</c:v>
                </c:pt>
                <c:pt idx="20">
                  <c:v>139</c:v>
                </c:pt>
                <c:pt idx="21">
                  <c:v>131</c:v>
                </c:pt>
                <c:pt idx="22">
                  <c:v>123</c:v>
                </c:pt>
                <c:pt idx="23">
                  <c:v>115</c:v>
                </c:pt>
                <c:pt idx="24">
                  <c:v>107</c:v>
                </c:pt>
                <c:pt idx="25">
                  <c:v>99</c:v>
                </c:pt>
                <c:pt idx="26">
                  <c:v>90</c:v>
                </c:pt>
                <c:pt idx="27">
                  <c:v>82</c:v>
                </c:pt>
                <c:pt idx="28">
                  <c:v>74</c:v>
                </c:pt>
                <c:pt idx="29">
                  <c:v>66</c:v>
                </c:pt>
                <c:pt idx="30">
                  <c:v>58</c:v>
                </c:pt>
                <c:pt idx="31">
                  <c:v>49</c:v>
                </c:pt>
                <c:pt idx="32">
                  <c:v>41</c:v>
                </c:pt>
                <c:pt idx="33">
                  <c:v>33</c:v>
                </c:pt>
                <c:pt idx="34">
                  <c:v>25</c:v>
                </c:pt>
                <c:pt idx="35">
                  <c:v>17</c:v>
                </c:pt>
                <c:pt idx="36">
                  <c:v>8</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'PC40 Graphs'!$D$5:$D$56</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826.66666666666674</c:v>
                </c:pt>
                <c:pt idx="33">
                  <c:v>826.66666666666674</c:v>
                </c:pt>
                <c:pt idx="34">
                  <c:v>826.66666666666674</c:v>
                </c:pt>
                <c:pt idx="35">
                  <c:v>826.66666666666674</c:v>
                </c:pt>
                <c:pt idx="36">
                  <c:v>826.66666666666674</c:v>
                </c:pt>
                <c:pt idx="37">
                  <c:v>826.66666666666674</c:v>
                </c:pt>
                <c:pt idx="38">
                  <c:v>826.66666666666674</c:v>
                </c:pt>
                <c:pt idx="39">
                  <c:v>826.66666666666674</c:v>
                </c:pt>
                <c:pt idx="40">
                  <c:v>826.66666666666674</c:v>
                </c:pt>
                <c:pt idx="41">
                  <c:v>826.66666666666674</c:v>
                </c:pt>
                <c:pt idx="42">
                  <c:v>826.66666666666674</c:v>
                </c:pt>
                <c:pt idx="43">
                  <c:v>826.66666666666674</c:v>
                </c:pt>
                <c:pt idx="44">
                  <c:v>826.66666666666674</c:v>
                </c:pt>
                <c:pt idx="45">
                  <c:v>826.66666666666674</c:v>
                </c:pt>
                <c:pt idx="46">
                  <c:v>826.66666666666674</c:v>
                </c:pt>
                <c:pt idx="47">
                  <c:v>826.66666666666674</c:v>
                </c:pt>
                <c:pt idx="48">
                  <c:v>826.66666666666674</c:v>
                </c:pt>
                <c:pt idx="49">
                  <c:v>826.66666666666674</c:v>
                </c:pt>
                <c:pt idx="50">
                  <c:v>826.66666666666674</c:v>
                </c:pt>
                <c:pt idx="51">
                  <c:v>826.66666666666674</c:v>
                </c:pt>
              </c:numCache>
            </c:numRef>
          </c:yVal>
          <c:smooth val="0"/>
          <c:extLst>
            <c:ext xmlns:c16="http://schemas.microsoft.com/office/drawing/2014/chart" uri="{C3380CC4-5D6E-409C-BE32-E72D297353CC}">
              <c16:uniqueId val="{00000001-531A-4025-970E-9B01D7B8F976}"/>
            </c:ext>
          </c:extLst>
        </c:ser>
        <c:ser>
          <c:idx val="2"/>
          <c:order val="2"/>
          <c:tx>
            <c:v>Lead 5 mm</c:v>
          </c:tx>
          <c:spPr>
            <a:ln w="19050"/>
          </c:spPr>
          <c:marker>
            <c:symbol val="none"/>
          </c:marker>
          <c:xVal>
            <c:numRef>
              <c:f>'PC40 Graphs'!$G$5:$G$56</c:f>
              <c:numCache>
                <c:formatCode>General</c:formatCode>
                <c:ptCount val="52"/>
                <c:pt idx="0">
                  <c:v>686</c:v>
                </c:pt>
                <c:pt idx="1">
                  <c:v>677</c:v>
                </c:pt>
                <c:pt idx="2">
                  <c:v>667</c:v>
                </c:pt>
                <c:pt idx="3">
                  <c:v>658</c:v>
                </c:pt>
                <c:pt idx="4">
                  <c:v>649</c:v>
                </c:pt>
                <c:pt idx="5">
                  <c:v>639</c:v>
                </c:pt>
                <c:pt idx="6">
                  <c:v>630</c:v>
                </c:pt>
                <c:pt idx="7">
                  <c:v>621</c:v>
                </c:pt>
                <c:pt idx="8">
                  <c:v>613</c:v>
                </c:pt>
                <c:pt idx="9">
                  <c:v>604</c:v>
                </c:pt>
                <c:pt idx="10">
                  <c:v>595</c:v>
                </c:pt>
                <c:pt idx="11">
                  <c:v>586</c:v>
                </c:pt>
                <c:pt idx="12">
                  <c:v>578</c:v>
                </c:pt>
                <c:pt idx="13">
                  <c:v>569</c:v>
                </c:pt>
                <c:pt idx="14">
                  <c:v>560</c:v>
                </c:pt>
                <c:pt idx="15">
                  <c:v>551</c:v>
                </c:pt>
                <c:pt idx="16">
                  <c:v>543</c:v>
                </c:pt>
                <c:pt idx="17">
                  <c:v>534</c:v>
                </c:pt>
                <c:pt idx="18">
                  <c:v>525</c:v>
                </c:pt>
                <c:pt idx="19">
                  <c:v>516</c:v>
                </c:pt>
                <c:pt idx="20">
                  <c:v>508</c:v>
                </c:pt>
                <c:pt idx="21">
                  <c:v>499</c:v>
                </c:pt>
                <c:pt idx="22">
                  <c:v>489</c:v>
                </c:pt>
                <c:pt idx="23">
                  <c:v>479</c:v>
                </c:pt>
                <c:pt idx="24">
                  <c:v>469</c:v>
                </c:pt>
                <c:pt idx="25">
                  <c:v>459</c:v>
                </c:pt>
                <c:pt idx="26">
                  <c:v>449</c:v>
                </c:pt>
                <c:pt idx="27">
                  <c:v>439</c:v>
                </c:pt>
                <c:pt idx="28">
                  <c:v>429</c:v>
                </c:pt>
                <c:pt idx="29">
                  <c:v>419</c:v>
                </c:pt>
                <c:pt idx="30">
                  <c:v>409</c:v>
                </c:pt>
                <c:pt idx="31">
                  <c:v>399</c:v>
                </c:pt>
                <c:pt idx="32">
                  <c:v>389</c:v>
                </c:pt>
                <c:pt idx="33">
                  <c:v>379</c:v>
                </c:pt>
                <c:pt idx="34">
                  <c:v>369</c:v>
                </c:pt>
                <c:pt idx="35">
                  <c:v>359</c:v>
                </c:pt>
                <c:pt idx="36">
                  <c:v>349</c:v>
                </c:pt>
                <c:pt idx="37">
                  <c:v>339</c:v>
                </c:pt>
                <c:pt idx="38">
                  <c:v>329</c:v>
                </c:pt>
                <c:pt idx="39">
                  <c:v>319</c:v>
                </c:pt>
                <c:pt idx="40">
                  <c:v>309</c:v>
                </c:pt>
                <c:pt idx="41">
                  <c:v>299</c:v>
                </c:pt>
                <c:pt idx="42">
                  <c:v>289</c:v>
                </c:pt>
                <c:pt idx="43">
                  <c:v>279</c:v>
                </c:pt>
                <c:pt idx="44">
                  <c:v>270</c:v>
                </c:pt>
                <c:pt idx="45">
                  <c:v>260</c:v>
                </c:pt>
                <c:pt idx="46">
                  <c:v>250</c:v>
                </c:pt>
                <c:pt idx="47">
                  <c:v>240</c:v>
                </c:pt>
                <c:pt idx="48">
                  <c:v>230</c:v>
                </c:pt>
                <c:pt idx="49">
                  <c:v>220</c:v>
                </c:pt>
                <c:pt idx="50">
                  <c:v>211</c:v>
                </c:pt>
                <c:pt idx="51">
                  <c:v>0</c:v>
                </c:pt>
              </c:numCache>
            </c:numRef>
          </c:xVal>
          <c:yVal>
            <c:numRef>
              <c:f>'PC40 Graphs'!$F$5:$F$56</c:f>
              <c:numCache>
                <c:formatCode>0</c:formatCode>
                <c:ptCount val="52"/>
                <c:pt idx="0" formatCode="General">
                  <c:v>0</c:v>
                </c:pt>
                <c:pt idx="1">
                  <c:v>13.333333333333332</c:v>
                </c:pt>
                <c:pt idx="2">
                  <c:v>26.666666666666664</c:v>
                </c:pt>
                <c:pt idx="3">
                  <c:v>40</c:v>
                </c:pt>
                <c:pt idx="4">
                  <c:v>53.333333333333329</c:v>
                </c:pt>
                <c:pt idx="5">
                  <c:v>66.666666666666671</c:v>
                </c:pt>
                <c:pt idx="6">
                  <c:v>80</c:v>
                </c:pt>
                <c:pt idx="7">
                  <c:v>93.333333333333343</c:v>
                </c:pt>
                <c:pt idx="8">
                  <c:v>106.66666666666666</c:v>
                </c:pt>
                <c:pt idx="9">
                  <c:v>120</c:v>
                </c:pt>
                <c:pt idx="10">
                  <c:v>133.33333333333334</c:v>
                </c:pt>
                <c:pt idx="11">
                  <c:v>146.66666666666666</c:v>
                </c:pt>
                <c:pt idx="12">
                  <c:v>160</c:v>
                </c:pt>
                <c:pt idx="13">
                  <c:v>173.33333333333331</c:v>
                </c:pt>
                <c:pt idx="14">
                  <c:v>186.66666666666669</c:v>
                </c:pt>
                <c:pt idx="15">
                  <c:v>200</c:v>
                </c:pt>
                <c:pt idx="16">
                  <c:v>213.33333333333331</c:v>
                </c:pt>
                <c:pt idx="17">
                  <c:v>226.66666666666669</c:v>
                </c:pt>
                <c:pt idx="18">
                  <c:v>240</c:v>
                </c:pt>
                <c:pt idx="19">
                  <c:v>253.33333333333331</c:v>
                </c:pt>
                <c:pt idx="20">
                  <c:v>266.66666666666669</c:v>
                </c:pt>
                <c:pt idx="21">
                  <c:v>280</c:v>
                </c:pt>
                <c:pt idx="22">
                  <c:v>293.33333333333331</c:v>
                </c:pt>
                <c:pt idx="23">
                  <c:v>306.66666666666669</c:v>
                </c:pt>
                <c:pt idx="24">
                  <c:v>320</c:v>
                </c:pt>
                <c:pt idx="25">
                  <c:v>333.33333333333337</c:v>
                </c:pt>
                <c:pt idx="26">
                  <c:v>346.66666666666663</c:v>
                </c:pt>
                <c:pt idx="27">
                  <c:v>360</c:v>
                </c:pt>
                <c:pt idx="28">
                  <c:v>373.33333333333337</c:v>
                </c:pt>
                <c:pt idx="29">
                  <c:v>386.66666666666663</c:v>
                </c:pt>
                <c:pt idx="30">
                  <c:v>400</c:v>
                </c:pt>
                <c:pt idx="31">
                  <c:v>413.33333333333337</c:v>
                </c:pt>
                <c:pt idx="32">
                  <c:v>413.33333333333337</c:v>
                </c:pt>
                <c:pt idx="33">
                  <c:v>413.33333333333337</c:v>
                </c:pt>
                <c:pt idx="34">
                  <c:v>413.33333333333337</c:v>
                </c:pt>
                <c:pt idx="35">
                  <c:v>413.33333333333337</c:v>
                </c:pt>
                <c:pt idx="36">
                  <c:v>413.33333333333337</c:v>
                </c:pt>
                <c:pt idx="37">
                  <c:v>413.33333333333337</c:v>
                </c:pt>
                <c:pt idx="38">
                  <c:v>413.33333333333337</c:v>
                </c:pt>
                <c:pt idx="39">
                  <c:v>413.33333333333337</c:v>
                </c:pt>
                <c:pt idx="40">
                  <c:v>413.33333333333337</c:v>
                </c:pt>
                <c:pt idx="41">
                  <c:v>413.33333333333337</c:v>
                </c:pt>
                <c:pt idx="42">
                  <c:v>413.33333333333337</c:v>
                </c:pt>
                <c:pt idx="43">
                  <c:v>413.33333333333337</c:v>
                </c:pt>
                <c:pt idx="44">
                  <c:v>413.33333333333337</c:v>
                </c:pt>
                <c:pt idx="45">
                  <c:v>413.33333333333337</c:v>
                </c:pt>
                <c:pt idx="46">
                  <c:v>413.33333333333337</c:v>
                </c:pt>
                <c:pt idx="47">
                  <c:v>413.33333333333337</c:v>
                </c:pt>
                <c:pt idx="48">
                  <c:v>413.33333333333337</c:v>
                </c:pt>
                <c:pt idx="49">
                  <c:v>413.33333333333337</c:v>
                </c:pt>
                <c:pt idx="50">
                  <c:v>413.33333333333337</c:v>
                </c:pt>
                <c:pt idx="51">
                  <c:v>413.33333333333337</c:v>
                </c:pt>
              </c:numCache>
            </c:numRef>
          </c:yVal>
          <c:smooth val="0"/>
          <c:extLst>
            <c:ext xmlns:c16="http://schemas.microsoft.com/office/drawing/2014/chart" uri="{C3380CC4-5D6E-409C-BE32-E72D297353CC}">
              <c16:uniqueId val="{00000002-531A-4025-970E-9B01D7B8F976}"/>
            </c:ext>
          </c:extLst>
        </c:ser>
        <c:dLbls>
          <c:showLegendKey val="0"/>
          <c:showVal val="0"/>
          <c:showCatName val="0"/>
          <c:showSerName val="0"/>
          <c:showPercent val="0"/>
          <c:showBubbleSize val="0"/>
        </c:dLbls>
        <c:axId val="343179648"/>
        <c:axId val="343181568"/>
      </c:scatterChart>
      <c:valAx>
        <c:axId val="343179648"/>
        <c:scaling>
          <c:orientation val="minMax"/>
        </c:scaling>
        <c:delete val="0"/>
        <c:axPos val="b"/>
        <c:title>
          <c:tx>
            <c:rich>
              <a:bodyPr/>
              <a:lstStyle/>
              <a:p>
                <a:pPr>
                  <a:defRPr/>
                </a:pPr>
                <a:r>
                  <a:rPr lang="sv-SE"/>
                  <a:t>Load (N)</a:t>
                </a:r>
              </a:p>
            </c:rich>
          </c:tx>
          <c:overlay val="0"/>
        </c:title>
        <c:numFmt formatCode="General" sourceLinked="1"/>
        <c:majorTickMark val="out"/>
        <c:minorTickMark val="none"/>
        <c:tickLblPos val="nextTo"/>
        <c:crossAx val="343181568"/>
        <c:crosses val="autoZero"/>
        <c:crossBetween val="midCat"/>
      </c:valAx>
      <c:valAx>
        <c:axId val="343181568"/>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179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v>
            </c:pt>
          </c:strCache>
        </c:strRef>
      </c:tx>
      <c:layout>
        <c:manualLayout>
          <c:xMode val="edge"/>
          <c:yMode val="edge"/>
          <c:x val="4.6877377475568173E-2"/>
          <c:y val="2.5712310854736978E-2"/>
        </c:manualLayout>
      </c:layout>
      <c:overlay val="0"/>
      <c:txPr>
        <a:bodyPr/>
        <a:lstStyle/>
        <a:p>
          <a:pPr>
            <a:defRPr sz="1200"/>
          </a:pPr>
          <a:endParaRPr lang="sv-SE"/>
        </a:p>
      </c:txPr>
    </c:title>
    <c:autoTitleDeleted val="0"/>
    <c:plotArea>
      <c:layout/>
      <c:scatterChart>
        <c:scatterStyle val="lineMarker"/>
        <c:varyColors val="0"/>
        <c:ser>
          <c:idx val="0"/>
          <c:order val="0"/>
          <c:tx>
            <c:strRef>
              <c:f>Data!$U$147</c:f>
              <c:strCache>
                <c:ptCount val="1"/>
                <c:pt idx="0">
                  <c:v>Continuous drive</c:v>
                </c:pt>
              </c:strCache>
            </c:strRef>
          </c:tx>
          <c:marker>
            <c:symbol val="none"/>
          </c:marker>
          <c:xVal>
            <c:numRef>
              <c:f>Data!$V$149:$V$200</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xVal>
          <c:yVal>
            <c:numRef>
              <c:f>Data!$U$149:$U$200</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yVal>
          <c:smooth val="0"/>
          <c:extLst>
            <c:ext xmlns:c16="http://schemas.microsoft.com/office/drawing/2014/chart" uri="{C3380CC4-5D6E-409C-BE32-E72D297353CC}">
              <c16:uniqueId val="{00000000-C332-43DB-8FAA-8ED5AD44349C}"/>
            </c:ext>
          </c:extLst>
        </c:ser>
        <c:ser>
          <c:idx val="1"/>
          <c:order val="1"/>
          <c:tx>
            <c:strRef>
              <c:f>Data!$W$147</c:f>
              <c:strCache>
                <c:ptCount val="1"/>
                <c:pt idx="0">
                  <c:v>Cyclic drive</c:v>
                </c:pt>
              </c:strCache>
            </c:strRef>
          </c:tx>
          <c:marker>
            <c:symbol val="none"/>
          </c:marker>
          <c:xVal>
            <c:numRef>
              <c:f>Data!$X$149:$X$200</c:f>
              <c:numCache>
                <c:formatCode>General</c:formatCode>
                <c:ptCount val="52"/>
                <c:pt idx="0">
                  <c:v>1158</c:v>
                </c:pt>
                <c:pt idx="1">
                  <c:v>1002</c:v>
                </c:pt>
                <c:pt idx="2">
                  <c:v>982</c:v>
                </c:pt>
                <c:pt idx="3">
                  <c:v>961</c:v>
                </c:pt>
                <c:pt idx="4">
                  <c:v>939</c:v>
                </c:pt>
                <c:pt idx="5">
                  <c:v>918</c:v>
                </c:pt>
                <c:pt idx="6">
                  <c:v>896</c:v>
                </c:pt>
                <c:pt idx="7">
                  <c:v>874</c:v>
                </c:pt>
                <c:pt idx="8">
                  <c:v>851</c:v>
                </c:pt>
                <c:pt idx="9">
                  <c:v>828</c:v>
                </c:pt>
                <c:pt idx="10">
                  <c:v>805</c:v>
                </c:pt>
                <c:pt idx="11">
                  <c:v>781</c:v>
                </c:pt>
                <c:pt idx="12">
                  <c:v>758</c:v>
                </c:pt>
                <c:pt idx="13">
                  <c:v>733</c:v>
                </c:pt>
                <c:pt idx="14">
                  <c:v>709</c:v>
                </c:pt>
                <c:pt idx="15">
                  <c:v>684</c:v>
                </c:pt>
                <c:pt idx="16">
                  <c:v>659</c:v>
                </c:pt>
                <c:pt idx="17">
                  <c:v>634</c:v>
                </c:pt>
                <c:pt idx="18">
                  <c:v>608</c:v>
                </c:pt>
                <c:pt idx="19">
                  <c:v>582</c:v>
                </c:pt>
                <c:pt idx="20">
                  <c:v>555</c:v>
                </c:pt>
                <c:pt idx="21">
                  <c:v>529</c:v>
                </c:pt>
                <c:pt idx="22">
                  <c:v>502</c:v>
                </c:pt>
                <c:pt idx="23">
                  <c:v>474</c:v>
                </c:pt>
                <c:pt idx="24">
                  <c:v>447</c:v>
                </c:pt>
                <c:pt idx="25">
                  <c:v>419</c:v>
                </c:pt>
                <c:pt idx="26">
                  <c:v>391</c:v>
                </c:pt>
                <c:pt idx="27">
                  <c:v>362</c:v>
                </c:pt>
                <c:pt idx="28">
                  <c:v>333</c:v>
                </c:pt>
                <c:pt idx="29">
                  <c:v>304</c:v>
                </c:pt>
                <c:pt idx="30">
                  <c:v>275</c:v>
                </c:pt>
                <c:pt idx="31">
                  <c:v>248</c:v>
                </c:pt>
                <c:pt idx="32">
                  <c:v>222</c:v>
                </c:pt>
                <c:pt idx="33">
                  <c:v>195</c:v>
                </c:pt>
                <c:pt idx="34">
                  <c:v>168</c:v>
                </c:pt>
                <c:pt idx="35">
                  <c:v>141</c:v>
                </c:pt>
                <c:pt idx="36">
                  <c:v>113</c:v>
                </c:pt>
                <c:pt idx="37">
                  <c:v>85</c:v>
                </c:pt>
                <c:pt idx="38">
                  <c:v>57</c:v>
                </c:pt>
                <c:pt idx="39">
                  <c:v>29</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Data!$W$149:$W$200</c:f>
              <c:numCache>
                <c:formatCode>0</c:formatCode>
                <c:ptCount val="52"/>
                <c:pt idx="0">
                  <c:v>0</c:v>
                </c:pt>
                <c:pt idx="1">
                  <c:v>858.06666666666661</c:v>
                </c:pt>
                <c:pt idx="2">
                  <c:v>870.8</c:v>
                </c:pt>
                <c:pt idx="3">
                  <c:v>883.7833333333333</c:v>
                </c:pt>
                <c:pt idx="4">
                  <c:v>897.01666666666665</c:v>
                </c:pt>
                <c:pt idx="5">
                  <c:v>910.51666666666677</c:v>
                </c:pt>
                <c:pt idx="6">
                  <c:v>924.2833333333333</c:v>
                </c:pt>
                <c:pt idx="7">
                  <c:v>938.33333333333326</c:v>
                </c:pt>
                <c:pt idx="8">
                  <c:v>952.63333333333333</c:v>
                </c:pt>
                <c:pt idx="9">
                  <c:v>967.2166666666667</c:v>
                </c:pt>
                <c:pt idx="10">
                  <c:v>982.06666666666661</c:v>
                </c:pt>
                <c:pt idx="11">
                  <c:v>997.2</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numCache>
            </c:numRef>
          </c:yVal>
          <c:smooth val="0"/>
          <c:extLst>
            <c:ext xmlns:c16="http://schemas.microsoft.com/office/drawing/2014/chart" uri="{C3380CC4-5D6E-409C-BE32-E72D297353CC}">
              <c16:uniqueId val="{00000001-C332-43DB-8FAA-8ED5AD44349C}"/>
            </c:ext>
          </c:extLst>
        </c:ser>
        <c:ser>
          <c:idx val="2"/>
          <c:order val="2"/>
          <c:tx>
            <c:v>Input values</c:v>
          </c:tx>
          <c:spPr>
            <a:ln>
              <a:noFill/>
            </a:ln>
          </c:spPr>
          <c:marker>
            <c:symbol val="diamond"/>
            <c:size val="5"/>
            <c:spPr>
              <a:solidFill>
                <a:schemeClr val="tx1"/>
              </a:solidFill>
              <a:ln>
                <a:solidFill>
                  <a:schemeClr val="tx1"/>
                </a:solidFill>
              </a:ln>
            </c:spPr>
          </c:marker>
          <c:xVal>
            <c:numRef>
              <c:f>Input!$C$14</c:f>
              <c:numCache>
                <c:formatCode>General</c:formatCode>
                <c:ptCount val="1"/>
                <c:pt idx="0">
                  <c:v>1</c:v>
                </c:pt>
              </c:numCache>
            </c:numRef>
          </c:xVal>
          <c:yVal>
            <c:numRef>
              <c:f>Input!$C$19</c:f>
              <c:numCache>
                <c:formatCode>General</c:formatCode>
                <c:ptCount val="1"/>
                <c:pt idx="0">
                  <c:v>1</c:v>
                </c:pt>
              </c:numCache>
            </c:numRef>
          </c:yVal>
          <c:smooth val="0"/>
          <c:extLst>
            <c:ext xmlns:c16="http://schemas.microsoft.com/office/drawing/2014/chart" uri="{C3380CC4-5D6E-409C-BE32-E72D297353CC}">
              <c16:uniqueId val="{00000002-C332-43DB-8FAA-8ED5AD44349C}"/>
            </c:ext>
          </c:extLst>
        </c:ser>
        <c:dLbls>
          <c:showLegendKey val="0"/>
          <c:showVal val="0"/>
          <c:showCatName val="0"/>
          <c:showSerName val="0"/>
          <c:showPercent val="0"/>
          <c:showBubbleSize val="0"/>
        </c:dLbls>
        <c:axId val="343814144"/>
        <c:axId val="343816448"/>
      </c:scatterChart>
      <c:valAx>
        <c:axId val="343814144"/>
        <c:scaling>
          <c:orientation val="minMax"/>
        </c:scaling>
        <c:delete val="0"/>
        <c:axPos val="b"/>
        <c:title>
          <c:tx>
            <c:rich>
              <a:bodyPr/>
              <a:lstStyle/>
              <a:p>
                <a:pPr>
                  <a:defRPr/>
                </a:pPr>
                <a:r>
                  <a:rPr lang="sv-SE"/>
                  <a:t>Load Fx (N)</a:t>
                </a:r>
              </a:p>
            </c:rich>
          </c:tx>
          <c:overlay val="0"/>
        </c:title>
        <c:numFmt formatCode="General" sourceLinked="1"/>
        <c:majorTickMark val="out"/>
        <c:minorTickMark val="none"/>
        <c:tickLblPos val="nextTo"/>
        <c:crossAx val="343816448"/>
        <c:crosses val="autoZero"/>
        <c:crossBetween val="midCat"/>
      </c:valAx>
      <c:valAx>
        <c:axId val="343816448"/>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814144"/>
        <c:crosses val="autoZero"/>
        <c:crossBetween val="midCat"/>
      </c:valAx>
    </c:plotArea>
    <c:legend>
      <c:legendPos val="r"/>
      <c:overlay val="0"/>
    </c:legend>
    <c:plotVisOnly val="1"/>
    <c:dispBlanksAs val="gap"/>
    <c:showDLblsOverMax val="0"/>
  </c:chart>
  <c:spPr>
    <a:noFill/>
    <a:ln w="19050">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PC32 + </a:t>
            </a:r>
          </a:p>
        </c:rich>
      </c:tx>
      <c:layout>
        <c:manualLayout>
          <c:xMode val="edge"/>
          <c:yMode val="edge"/>
          <c:x val="0.23834714503332466"/>
          <c:y val="2.1595333454276503E-2"/>
        </c:manualLayout>
      </c:layout>
      <c:overlay val="0"/>
    </c:title>
    <c:autoTitleDeleted val="0"/>
    <c:plotArea>
      <c:layout/>
      <c:scatterChart>
        <c:scatterStyle val="lineMarker"/>
        <c:varyColors val="0"/>
        <c:ser>
          <c:idx val="0"/>
          <c:order val="0"/>
          <c:tx>
            <c:v>Lead 10 mm</c:v>
          </c:tx>
          <c:marker>
            <c:symbol val="none"/>
          </c:marker>
          <c:xVal>
            <c:numRef>
              <c:f>'PC32 Graphs'!$C$5:$C$56</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xVal>
          <c:yVal>
            <c:numRef>
              <c:f>'PC32 Graphs'!$B$5:$B$56</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yVal>
          <c:smooth val="0"/>
          <c:extLst>
            <c:ext xmlns:c16="http://schemas.microsoft.com/office/drawing/2014/chart" uri="{C3380CC4-5D6E-409C-BE32-E72D297353CC}">
              <c16:uniqueId val="{00000000-17E0-446A-83A4-B5403483967D}"/>
            </c:ext>
          </c:extLst>
        </c:ser>
        <c:ser>
          <c:idx val="1"/>
          <c:order val="1"/>
          <c:tx>
            <c:v>Lead 4 mm</c:v>
          </c:tx>
          <c:marker>
            <c:symbol val="none"/>
          </c:marker>
          <c:xVal>
            <c:numRef>
              <c:f>'PC32 Graphs'!$E$5:$E$56</c:f>
              <c:numCache>
                <c:formatCode>General</c:formatCode>
                <c:ptCount val="52"/>
                <c:pt idx="0">
                  <c:v>895</c:v>
                </c:pt>
                <c:pt idx="1">
                  <c:v>887</c:v>
                </c:pt>
                <c:pt idx="2">
                  <c:v>879</c:v>
                </c:pt>
                <c:pt idx="3">
                  <c:v>871</c:v>
                </c:pt>
                <c:pt idx="4">
                  <c:v>862</c:v>
                </c:pt>
                <c:pt idx="5">
                  <c:v>854</c:v>
                </c:pt>
                <c:pt idx="6">
                  <c:v>846</c:v>
                </c:pt>
                <c:pt idx="7">
                  <c:v>838</c:v>
                </c:pt>
                <c:pt idx="8">
                  <c:v>830</c:v>
                </c:pt>
                <c:pt idx="9">
                  <c:v>823</c:v>
                </c:pt>
                <c:pt idx="10">
                  <c:v>815</c:v>
                </c:pt>
                <c:pt idx="11">
                  <c:v>808</c:v>
                </c:pt>
                <c:pt idx="12">
                  <c:v>800</c:v>
                </c:pt>
                <c:pt idx="13">
                  <c:v>793</c:v>
                </c:pt>
                <c:pt idx="14">
                  <c:v>785</c:v>
                </c:pt>
                <c:pt idx="15">
                  <c:v>777</c:v>
                </c:pt>
                <c:pt idx="16">
                  <c:v>770</c:v>
                </c:pt>
                <c:pt idx="17">
                  <c:v>762</c:v>
                </c:pt>
                <c:pt idx="18">
                  <c:v>755</c:v>
                </c:pt>
                <c:pt idx="19">
                  <c:v>747</c:v>
                </c:pt>
                <c:pt idx="20">
                  <c:v>739</c:v>
                </c:pt>
                <c:pt idx="21">
                  <c:v>732</c:v>
                </c:pt>
                <c:pt idx="22">
                  <c:v>723</c:v>
                </c:pt>
                <c:pt idx="23">
                  <c:v>714</c:v>
                </c:pt>
                <c:pt idx="24">
                  <c:v>704</c:v>
                </c:pt>
                <c:pt idx="25">
                  <c:v>695</c:v>
                </c:pt>
                <c:pt idx="26">
                  <c:v>686</c:v>
                </c:pt>
                <c:pt idx="27">
                  <c:v>677</c:v>
                </c:pt>
                <c:pt idx="28">
                  <c:v>668</c:v>
                </c:pt>
                <c:pt idx="29">
                  <c:v>659</c:v>
                </c:pt>
                <c:pt idx="30">
                  <c:v>650</c:v>
                </c:pt>
                <c:pt idx="31">
                  <c:v>641</c:v>
                </c:pt>
                <c:pt idx="32">
                  <c:v>632</c:v>
                </c:pt>
                <c:pt idx="33">
                  <c:v>622</c:v>
                </c:pt>
                <c:pt idx="34">
                  <c:v>613</c:v>
                </c:pt>
                <c:pt idx="35">
                  <c:v>604</c:v>
                </c:pt>
                <c:pt idx="36">
                  <c:v>595</c:v>
                </c:pt>
                <c:pt idx="37">
                  <c:v>586</c:v>
                </c:pt>
                <c:pt idx="38">
                  <c:v>577</c:v>
                </c:pt>
                <c:pt idx="39">
                  <c:v>568</c:v>
                </c:pt>
                <c:pt idx="40">
                  <c:v>559</c:v>
                </c:pt>
                <c:pt idx="41">
                  <c:v>550</c:v>
                </c:pt>
                <c:pt idx="42">
                  <c:v>540</c:v>
                </c:pt>
                <c:pt idx="43">
                  <c:v>531</c:v>
                </c:pt>
                <c:pt idx="44">
                  <c:v>522</c:v>
                </c:pt>
                <c:pt idx="45">
                  <c:v>513</c:v>
                </c:pt>
                <c:pt idx="46">
                  <c:v>504</c:v>
                </c:pt>
                <c:pt idx="47">
                  <c:v>495</c:v>
                </c:pt>
                <c:pt idx="48">
                  <c:v>486</c:v>
                </c:pt>
                <c:pt idx="49">
                  <c:v>477</c:v>
                </c:pt>
                <c:pt idx="50">
                  <c:v>469</c:v>
                </c:pt>
                <c:pt idx="51">
                  <c:v>0</c:v>
                </c:pt>
              </c:numCache>
            </c:numRef>
          </c:xVal>
          <c:yVal>
            <c:numRef>
              <c:f>'PC32 Graphs'!$D$5:$D$56</c:f>
              <c:numCache>
                <c:formatCode>0</c:formatCode>
                <c:ptCount val="52"/>
                <c:pt idx="0" formatCode="General">
                  <c:v>0</c:v>
                </c:pt>
                <c:pt idx="1">
                  <c:v>10.666666666666666</c:v>
                </c:pt>
                <c:pt idx="2">
                  <c:v>21.333333333333332</c:v>
                </c:pt>
                <c:pt idx="3">
                  <c:v>32</c:v>
                </c:pt>
                <c:pt idx="4">
                  <c:v>42.666666666666664</c:v>
                </c:pt>
                <c:pt idx="5">
                  <c:v>53.333333333333336</c:v>
                </c:pt>
                <c:pt idx="6">
                  <c:v>64</c:v>
                </c:pt>
                <c:pt idx="7">
                  <c:v>74.666666666666671</c:v>
                </c:pt>
                <c:pt idx="8">
                  <c:v>85.333333333333329</c:v>
                </c:pt>
                <c:pt idx="9">
                  <c:v>96</c:v>
                </c:pt>
                <c:pt idx="10">
                  <c:v>106.66666666666667</c:v>
                </c:pt>
                <c:pt idx="11">
                  <c:v>117.33333333333333</c:v>
                </c:pt>
                <c:pt idx="12">
                  <c:v>128</c:v>
                </c:pt>
                <c:pt idx="13">
                  <c:v>138.66666666666666</c:v>
                </c:pt>
                <c:pt idx="14">
                  <c:v>149.33333333333334</c:v>
                </c:pt>
                <c:pt idx="15">
                  <c:v>160</c:v>
                </c:pt>
                <c:pt idx="16">
                  <c:v>170.66666666666666</c:v>
                </c:pt>
                <c:pt idx="17">
                  <c:v>181.33333333333334</c:v>
                </c:pt>
                <c:pt idx="18">
                  <c:v>192</c:v>
                </c:pt>
                <c:pt idx="19">
                  <c:v>202.66666666666666</c:v>
                </c:pt>
                <c:pt idx="20">
                  <c:v>213.33333333333334</c:v>
                </c:pt>
                <c:pt idx="21">
                  <c:v>224</c:v>
                </c:pt>
                <c:pt idx="22">
                  <c:v>234.66666666666666</c:v>
                </c:pt>
                <c:pt idx="23">
                  <c:v>245.33333333333334</c:v>
                </c:pt>
                <c:pt idx="24">
                  <c:v>256</c:v>
                </c:pt>
                <c:pt idx="25">
                  <c:v>266.66666666666669</c:v>
                </c:pt>
                <c:pt idx="26">
                  <c:v>277.33333333333331</c:v>
                </c:pt>
                <c:pt idx="27">
                  <c:v>288</c:v>
                </c:pt>
                <c:pt idx="28">
                  <c:v>298.66666666666669</c:v>
                </c:pt>
                <c:pt idx="29">
                  <c:v>309.33333333333331</c:v>
                </c:pt>
                <c:pt idx="30">
                  <c:v>320</c:v>
                </c:pt>
                <c:pt idx="31">
                  <c:v>330.66666666666669</c:v>
                </c:pt>
                <c:pt idx="32">
                  <c:v>341.33333333333331</c:v>
                </c:pt>
                <c:pt idx="33">
                  <c:v>352</c:v>
                </c:pt>
                <c:pt idx="34">
                  <c:v>362.66666666666669</c:v>
                </c:pt>
                <c:pt idx="35">
                  <c:v>373.33333333333331</c:v>
                </c:pt>
                <c:pt idx="36">
                  <c:v>384</c:v>
                </c:pt>
                <c:pt idx="37">
                  <c:v>394.66666666666669</c:v>
                </c:pt>
                <c:pt idx="38">
                  <c:v>394.66666666666669</c:v>
                </c:pt>
                <c:pt idx="39">
                  <c:v>394.66666666666669</c:v>
                </c:pt>
                <c:pt idx="40">
                  <c:v>394.66666666666669</c:v>
                </c:pt>
                <c:pt idx="41">
                  <c:v>394.66666666666669</c:v>
                </c:pt>
                <c:pt idx="42">
                  <c:v>394.66666666666669</c:v>
                </c:pt>
                <c:pt idx="43">
                  <c:v>394.66666666666669</c:v>
                </c:pt>
                <c:pt idx="44">
                  <c:v>394.66666666666669</c:v>
                </c:pt>
                <c:pt idx="45">
                  <c:v>394.66666666666669</c:v>
                </c:pt>
                <c:pt idx="46">
                  <c:v>394.66666666666669</c:v>
                </c:pt>
                <c:pt idx="47">
                  <c:v>394.66666666666669</c:v>
                </c:pt>
                <c:pt idx="48">
                  <c:v>394.66666666666669</c:v>
                </c:pt>
                <c:pt idx="49">
                  <c:v>394.66666666666669</c:v>
                </c:pt>
                <c:pt idx="50">
                  <c:v>394.66666666666669</c:v>
                </c:pt>
                <c:pt idx="51">
                  <c:v>394.66666666666669</c:v>
                </c:pt>
              </c:numCache>
            </c:numRef>
          </c:yVal>
          <c:smooth val="0"/>
          <c:extLst>
            <c:ext xmlns:c16="http://schemas.microsoft.com/office/drawing/2014/chart" uri="{C3380CC4-5D6E-409C-BE32-E72D297353CC}">
              <c16:uniqueId val="{00000001-17E0-446A-83A4-B5403483967D}"/>
            </c:ext>
          </c:extLst>
        </c:ser>
        <c:dLbls>
          <c:showLegendKey val="0"/>
          <c:showVal val="0"/>
          <c:showCatName val="0"/>
          <c:showSerName val="0"/>
          <c:showPercent val="0"/>
          <c:showBubbleSize val="0"/>
        </c:dLbls>
        <c:axId val="343988096"/>
        <c:axId val="343609344"/>
      </c:scatterChart>
      <c:valAx>
        <c:axId val="343988096"/>
        <c:scaling>
          <c:orientation val="minMax"/>
        </c:scaling>
        <c:delete val="0"/>
        <c:axPos val="b"/>
        <c:title>
          <c:tx>
            <c:rich>
              <a:bodyPr/>
              <a:lstStyle/>
              <a:p>
                <a:pPr>
                  <a:defRPr/>
                </a:pPr>
                <a:r>
                  <a:rPr lang="sv-SE"/>
                  <a:t>Load (N)</a:t>
                </a:r>
              </a:p>
            </c:rich>
          </c:tx>
          <c:overlay val="0"/>
        </c:title>
        <c:numFmt formatCode="General" sourceLinked="1"/>
        <c:majorTickMark val="out"/>
        <c:minorTickMark val="none"/>
        <c:tickLblPos val="nextTo"/>
        <c:crossAx val="343609344"/>
        <c:crosses val="autoZero"/>
        <c:crossBetween val="midCat"/>
      </c:valAx>
      <c:valAx>
        <c:axId val="343609344"/>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9880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v>
            </c:pt>
          </c:strCache>
        </c:strRef>
      </c:tx>
      <c:layout>
        <c:manualLayout>
          <c:xMode val="edge"/>
          <c:yMode val="edge"/>
          <c:x val="4.6877377475568173E-2"/>
          <c:y val="2.5712310854736978E-2"/>
        </c:manualLayout>
      </c:layout>
      <c:overlay val="0"/>
      <c:txPr>
        <a:bodyPr/>
        <a:lstStyle/>
        <a:p>
          <a:pPr>
            <a:defRPr sz="1200"/>
          </a:pPr>
          <a:endParaRPr lang="sv-SE"/>
        </a:p>
      </c:txPr>
    </c:title>
    <c:autoTitleDeleted val="0"/>
    <c:plotArea>
      <c:layout/>
      <c:scatterChart>
        <c:scatterStyle val="lineMarker"/>
        <c:varyColors val="0"/>
        <c:ser>
          <c:idx val="0"/>
          <c:order val="0"/>
          <c:tx>
            <c:strRef>
              <c:f>Data!$U$147</c:f>
              <c:strCache>
                <c:ptCount val="1"/>
                <c:pt idx="0">
                  <c:v>Continuous drive</c:v>
                </c:pt>
              </c:strCache>
            </c:strRef>
          </c:tx>
          <c:marker>
            <c:symbol val="none"/>
          </c:marker>
          <c:xVal>
            <c:numRef>
              <c:f>Data!$V$149:$V$200</c:f>
              <c:numCache>
                <c:formatCode>General</c:formatCode>
                <c:ptCount val="52"/>
                <c:pt idx="0">
                  <c:v>303</c:v>
                </c:pt>
                <c:pt idx="1">
                  <c:v>296</c:v>
                </c:pt>
                <c:pt idx="2">
                  <c:v>290</c:v>
                </c:pt>
                <c:pt idx="3">
                  <c:v>284</c:v>
                </c:pt>
                <c:pt idx="4">
                  <c:v>278</c:v>
                </c:pt>
                <c:pt idx="5">
                  <c:v>271</c:v>
                </c:pt>
                <c:pt idx="6">
                  <c:v>265</c:v>
                </c:pt>
                <c:pt idx="7">
                  <c:v>259</c:v>
                </c:pt>
                <c:pt idx="8">
                  <c:v>253</c:v>
                </c:pt>
                <c:pt idx="9">
                  <c:v>247</c:v>
                </c:pt>
                <c:pt idx="10">
                  <c:v>241</c:v>
                </c:pt>
                <c:pt idx="11">
                  <c:v>235</c:v>
                </c:pt>
                <c:pt idx="12">
                  <c:v>229</c:v>
                </c:pt>
                <c:pt idx="13">
                  <c:v>223</c:v>
                </c:pt>
                <c:pt idx="14">
                  <c:v>217</c:v>
                </c:pt>
                <c:pt idx="15">
                  <c:v>211</c:v>
                </c:pt>
                <c:pt idx="16">
                  <c:v>205</c:v>
                </c:pt>
                <c:pt idx="17">
                  <c:v>199</c:v>
                </c:pt>
                <c:pt idx="18">
                  <c:v>193</c:v>
                </c:pt>
                <c:pt idx="19">
                  <c:v>187</c:v>
                </c:pt>
                <c:pt idx="20">
                  <c:v>181</c:v>
                </c:pt>
                <c:pt idx="21">
                  <c:v>175</c:v>
                </c:pt>
                <c:pt idx="22">
                  <c:v>169</c:v>
                </c:pt>
                <c:pt idx="23">
                  <c:v>162</c:v>
                </c:pt>
                <c:pt idx="24">
                  <c:v>155</c:v>
                </c:pt>
                <c:pt idx="25">
                  <c:v>149</c:v>
                </c:pt>
                <c:pt idx="26">
                  <c:v>142</c:v>
                </c:pt>
                <c:pt idx="27">
                  <c:v>136</c:v>
                </c:pt>
                <c:pt idx="28">
                  <c:v>129</c:v>
                </c:pt>
                <c:pt idx="29">
                  <c:v>122</c:v>
                </c:pt>
                <c:pt idx="30">
                  <c:v>116</c:v>
                </c:pt>
                <c:pt idx="31">
                  <c:v>109</c:v>
                </c:pt>
                <c:pt idx="32">
                  <c:v>103</c:v>
                </c:pt>
                <c:pt idx="33">
                  <c:v>96</c:v>
                </c:pt>
                <c:pt idx="34">
                  <c:v>89</c:v>
                </c:pt>
                <c:pt idx="35">
                  <c:v>83</c:v>
                </c:pt>
                <c:pt idx="36">
                  <c:v>76</c:v>
                </c:pt>
                <c:pt idx="37">
                  <c:v>70</c:v>
                </c:pt>
                <c:pt idx="38">
                  <c:v>63</c:v>
                </c:pt>
                <c:pt idx="39">
                  <c:v>57</c:v>
                </c:pt>
                <c:pt idx="40">
                  <c:v>50</c:v>
                </c:pt>
                <c:pt idx="41">
                  <c:v>43</c:v>
                </c:pt>
                <c:pt idx="42">
                  <c:v>37</c:v>
                </c:pt>
                <c:pt idx="43">
                  <c:v>30</c:v>
                </c:pt>
                <c:pt idx="44">
                  <c:v>24</c:v>
                </c:pt>
                <c:pt idx="45">
                  <c:v>17</c:v>
                </c:pt>
                <c:pt idx="46">
                  <c:v>10</c:v>
                </c:pt>
                <c:pt idx="47">
                  <c:v>4</c:v>
                </c:pt>
                <c:pt idx="48">
                  <c:v>0</c:v>
                </c:pt>
                <c:pt idx="49">
                  <c:v>0</c:v>
                </c:pt>
                <c:pt idx="50">
                  <c:v>0</c:v>
                </c:pt>
                <c:pt idx="51">
                  <c:v>0</c:v>
                </c:pt>
              </c:numCache>
            </c:numRef>
          </c:xVal>
          <c:yVal>
            <c:numRef>
              <c:f>Data!$U$149:$U$200</c:f>
              <c:numCache>
                <c:formatCode>0</c:formatCode>
                <c:ptCount val="52"/>
                <c:pt idx="0" formatCode="General">
                  <c:v>0</c:v>
                </c:pt>
                <c:pt idx="1">
                  <c:v>26.666666666666664</c:v>
                </c:pt>
                <c:pt idx="2">
                  <c:v>53.333333333333329</c:v>
                </c:pt>
                <c:pt idx="3">
                  <c:v>80</c:v>
                </c:pt>
                <c:pt idx="4">
                  <c:v>106.66666666666666</c:v>
                </c:pt>
                <c:pt idx="5">
                  <c:v>133.33333333333334</c:v>
                </c:pt>
                <c:pt idx="6">
                  <c:v>160</c:v>
                </c:pt>
                <c:pt idx="7">
                  <c:v>186.66666666666669</c:v>
                </c:pt>
                <c:pt idx="8">
                  <c:v>213.33333333333331</c:v>
                </c:pt>
                <c:pt idx="9">
                  <c:v>240</c:v>
                </c:pt>
                <c:pt idx="10">
                  <c:v>266.66666666666669</c:v>
                </c:pt>
                <c:pt idx="11">
                  <c:v>293.33333333333331</c:v>
                </c:pt>
                <c:pt idx="12">
                  <c:v>320</c:v>
                </c:pt>
                <c:pt idx="13">
                  <c:v>346.66666666666663</c:v>
                </c:pt>
                <c:pt idx="14">
                  <c:v>373.33333333333337</c:v>
                </c:pt>
                <c:pt idx="15">
                  <c:v>400</c:v>
                </c:pt>
                <c:pt idx="16">
                  <c:v>426.66666666666663</c:v>
                </c:pt>
                <c:pt idx="17">
                  <c:v>453.33333333333337</c:v>
                </c:pt>
                <c:pt idx="18">
                  <c:v>480</c:v>
                </c:pt>
                <c:pt idx="19">
                  <c:v>506.66666666666663</c:v>
                </c:pt>
                <c:pt idx="20">
                  <c:v>533.33333333333337</c:v>
                </c:pt>
                <c:pt idx="21">
                  <c:v>560</c:v>
                </c:pt>
                <c:pt idx="22">
                  <c:v>586.66666666666663</c:v>
                </c:pt>
                <c:pt idx="23">
                  <c:v>613.33333333333337</c:v>
                </c:pt>
                <c:pt idx="24">
                  <c:v>640</c:v>
                </c:pt>
                <c:pt idx="25">
                  <c:v>666.66666666666674</c:v>
                </c:pt>
                <c:pt idx="26">
                  <c:v>693.33333333333326</c:v>
                </c:pt>
                <c:pt idx="27">
                  <c:v>720</c:v>
                </c:pt>
                <c:pt idx="28">
                  <c:v>746.66666666666674</c:v>
                </c:pt>
                <c:pt idx="29">
                  <c:v>773.33333333333326</c:v>
                </c:pt>
                <c:pt idx="30">
                  <c:v>800</c:v>
                </c:pt>
                <c:pt idx="31">
                  <c:v>826.66666666666674</c:v>
                </c:pt>
                <c:pt idx="32">
                  <c:v>853.33333333333326</c:v>
                </c:pt>
                <c:pt idx="33">
                  <c:v>880</c:v>
                </c:pt>
                <c:pt idx="34">
                  <c:v>906.66666666666674</c:v>
                </c:pt>
                <c:pt idx="35">
                  <c:v>933.33333333333326</c:v>
                </c:pt>
                <c:pt idx="36">
                  <c:v>960</c:v>
                </c:pt>
                <c:pt idx="37">
                  <c:v>986.66666666666674</c:v>
                </c:pt>
                <c:pt idx="38">
                  <c:v>986.66666666666674</c:v>
                </c:pt>
                <c:pt idx="39">
                  <c:v>986.66666666666674</c:v>
                </c:pt>
                <c:pt idx="40">
                  <c:v>986.66666666666674</c:v>
                </c:pt>
                <c:pt idx="41">
                  <c:v>986.66666666666674</c:v>
                </c:pt>
                <c:pt idx="42">
                  <c:v>986.66666666666674</c:v>
                </c:pt>
                <c:pt idx="43">
                  <c:v>986.66666666666674</c:v>
                </c:pt>
                <c:pt idx="44">
                  <c:v>986.66666666666674</c:v>
                </c:pt>
                <c:pt idx="45">
                  <c:v>986.66666666666674</c:v>
                </c:pt>
                <c:pt idx="46">
                  <c:v>986.66666666666674</c:v>
                </c:pt>
                <c:pt idx="47">
                  <c:v>986.66666666666674</c:v>
                </c:pt>
                <c:pt idx="48">
                  <c:v>986.66666666666674</c:v>
                </c:pt>
                <c:pt idx="49">
                  <c:v>986.66666666666674</c:v>
                </c:pt>
                <c:pt idx="50">
                  <c:v>986.66666666666674</c:v>
                </c:pt>
                <c:pt idx="51">
                  <c:v>986.66666666666674</c:v>
                </c:pt>
              </c:numCache>
            </c:numRef>
          </c:yVal>
          <c:smooth val="0"/>
          <c:extLst>
            <c:ext xmlns:c16="http://schemas.microsoft.com/office/drawing/2014/chart" uri="{C3380CC4-5D6E-409C-BE32-E72D297353CC}">
              <c16:uniqueId val="{00000000-7837-46A8-B930-35A6A8F4547A}"/>
            </c:ext>
          </c:extLst>
        </c:ser>
        <c:ser>
          <c:idx val="1"/>
          <c:order val="1"/>
          <c:tx>
            <c:strRef>
              <c:f>Data!$W$147</c:f>
              <c:strCache>
                <c:ptCount val="1"/>
                <c:pt idx="0">
                  <c:v>Cyclic drive</c:v>
                </c:pt>
              </c:strCache>
            </c:strRef>
          </c:tx>
          <c:marker>
            <c:symbol val="none"/>
          </c:marker>
          <c:xVal>
            <c:numRef>
              <c:f>Data!$X$149:$X$200</c:f>
              <c:numCache>
                <c:formatCode>General</c:formatCode>
                <c:ptCount val="52"/>
                <c:pt idx="0">
                  <c:v>1158</c:v>
                </c:pt>
                <c:pt idx="1">
                  <c:v>1002</c:v>
                </c:pt>
                <c:pt idx="2">
                  <c:v>982</c:v>
                </c:pt>
                <c:pt idx="3">
                  <c:v>961</c:v>
                </c:pt>
                <c:pt idx="4">
                  <c:v>939</c:v>
                </c:pt>
                <c:pt idx="5">
                  <c:v>918</c:v>
                </c:pt>
                <c:pt idx="6">
                  <c:v>896</c:v>
                </c:pt>
                <c:pt idx="7">
                  <c:v>874</c:v>
                </c:pt>
                <c:pt idx="8">
                  <c:v>851</c:v>
                </c:pt>
                <c:pt idx="9">
                  <c:v>828</c:v>
                </c:pt>
                <c:pt idx="10">
                  <c:v>805</c:v>
                </c:pt>
                <c:pt idx="11">
                  <c:v>781</c:v>
                </c:pt>
                <c:pt idx="12">
                  <c:v>758</c:v>
                </c:pt>
                <c:pt idx="13">
                  <c:v>733</c:v>
                </c:pt>
                <c:pt idx="14">
                  <c:v>709</c:v>
                </c:pt>
                <c:pt idx="15">
                  <c:v>684</c:v>
                </c:pt>
                <c:pt idx="16">
                  <c:v>659</c:v>
                </c:pt>
                <c:pt idx="17">
                  <c:v>634</c:v>
                </c:pt>
                <c:pt idx="18">
                  <c:v>608</c:v>
                </c:pt>
                <c:pt idx="19">
                  <c:v>582</c:v>
                </c:pt>
                <c:pt idx="20">
                  <c:v>555</c:v>
                </c:pt>
                <c:pt idx="21">
                  <c:v>529</c:v>
                </c:pt>
                <c:pt idx="22">
                  <c:v>502</c:v>
                </c:pt>
                <c:pt idx="23">
                  <c:v>474</c:v>
                </c:pt>
                <c:pt idx="24">
                  <c:v>447</c:v>
                </c:pt>
                <c:pt idx="25">
                  <c:v>419</c:v>
                </c:pt>
                <c:pt idx="26">
                  <c:v>391</c:v>
                </c:pt>
                <c:pt idx="27">
                  <c:v>362</c:v>
                </c:pt>
                <c:pt idx="28">
                  <c:v>333</c:v>
                </c:pt>
                <c:pt idx="29">
                  <c:v>304</c:v>
                </c:pt>
                <c:pt idx="30">
                  <c:v>275</c:v>
                </c:pt>
                <c:pt idx="31">
                  <c:v>248</c:v>
                </c:pt>
                <c:pt idx="32">
                  <c:v>222</c:v>
                </c:pt>
                <c:pt idx="33">
                  <c:v>195</c:v>
                </c:pt>
                <c:pt idx="34">
                  <c:v>168</c:v>
                </c:pt>
                <c:pt idx="35">
                  <c:v>141</c:v>
                </c:pt>
                <c:pt idx="36">
                  <c:v>113</c:v>
                </c:pt>
                <c:pt idx="37">
                  <c:v>85</c:v>
                </c:pt>
                <c:pt idx="38">
                  <c:v>57</c:v>
                </c:pt>
                <c:pt idx="39">
                  <c:v>29</c:v>
                </c:pt>
                <c:pt idx="40">
                  <c:v>0</c:v>
                </c:pt>
                <c:pt idx="41">
                  <c:v>0</c:v>
                </c:pt>
                <c:pt idx="42">
                  <c:v>0</c:v>
                </c:pt>
                <c:pt idx="43">
                  <c:v>0</c:v>
                </c:pt>
                <c:pt idx="44">
                  <c:v>0</c:v>
                </c:pt>
                <c:pt idx="45">
                  <c:v>0</c:v>
                </c:pt>
                <c:pt idx="46">
                  <c:v>0</c:v>
                </c:pt>
                <c:pt idx="47">
                  <c:v>0</c:v>
                </c:pt>
                <c:pt idx="48">
                  <c:v>0</c:v>
                </c:pt>
                <c:pt idx="49">
                  <c:v>0</c:v>
                </c:pt>
                <c:pt idx="50">
                  <c:v>0</c:v>
                </c:pt>
                <c:pt idx="51">
                  <c:v>0</c:v>
                </c:pt>
              </c:numCache>
            </c:numRef>
          </c:xVal>
          <c:yVal>
            <c:numRef>
              <c:f>Data!$W$149:$W$200</c:f>
              <c:numCache>
                <c:formatCode>0</c:formatCode>
                <c:ptCount val="52"/>
                <c:pt idx="0">
                  <c:v>0</c:v>
                </c:pt>
                <c:pt idx="1">
                  <c:v>858.06666666666661</c:v>
                </c:pt>
                <c:pt idx="2">
                  <c:v>870.8</c:v>
                </c:pt>
                <c:pt idx="3">
                  <c:v>883.7833333333333</c:v>
                </c:pt>
                <c:pt idx="4">
                  <c:v>897.01666666666665</c:v>
                </c:pt>
                <c:pt idx="5">
                  <c:v>910.51666666666677</c:v>
                </c:pt>
                <c:pt idx="6">
                  <c:v>924.2833333333333</c:v>
                </c:pt>
                <c:pt idx="7">
                  <c:v>938.33333333333326</c:v>
                </c:pt>
                <c:pt idx="8">
                  <c:v>952.63333333333333</c:v>
                </c:pt>
                <c:pt idx="9">
                  <c:v>967.2166666666667</c:v>
                </c:pt>
                <c:pt idx="10">
                  <c:v>982.06666666666661</c:v>
                </c:pt>
                <c:pt idx="11">
                  <c:v>997.2</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numCache>
            </c:numRef>
          </c:yVal>
          <c:smooth val="0"/>
          <c:extLst>
            <c:ext xmlns:c16="http://schemas.microsoft.com/office/drawing/2014/chart" uri="{C3380CC4-5D6E-409C-BE32-E72D297353CC}">
              <c16:uniqueId val="{00000001-7837-46A8-B930-35A6A8F4547A}"/>
            </c:ext>
          </c:extLst>
        </c:ser>
        <c:ser>
          <c:idx val="2"/>
          <c:order val="2"/>
          <c:tx>
            <c:v>Input values</c:v>
          </c:tx>
          <c:spPr>
            <a:ln>
              <a:noFill/>
            </a:ln>
          </c:spPr>
          <c:marker>
            <c:symbol val="diamond"/>
            <c:size val="5"/>
            <c:spPr>
              <a:solidFill>
                <a:schemeClr val="tx1"/>
              </a:solidFill>
              <a:ln>
                <a:solidFill>
                  <a:schemeClr val="tx1"/>
                </a:solidFill>
              </a:ln>
            </c:spPr>
          </c:marker>
          <c:xVal>
            <c:numRef>
              <c:f>Input!$C$14</c:f>
              <c:numCache>
                <c:formatCode>General</c:formatCode>
                <c:ptCount val="1"/>
                <c:pt idx="0">
                  <c:v>1</c:v>
                </c:pt>
              </c:numCache>
            </c:numRef>
          </c:xVal>
          <c:yVal>
            <c:numRef>
              <c:f>Input!$C$19</c:f>
              <c:numCache>
                <c:formatCode>General</c:formatCode>
                <c:ptCount val="1"/>
                <c:pt idx="0">
                  <c:v>1</c:v>
                </c:pt>
              </c:numCache>
            </c:numRef>
          </c:yVal>
          <c:smooth val="0"/>
          <c:extLst>
            <c:ext xmlns:c16="http://schemas.microsoft.com/office/drawing/2014/chart" uri="{C3380CC4-5D6E-409C-BE32-E72D297353CC}">
              <c16:uniqueId val="{00000002-7837-46A8-B930-35A6A8F4547A}"/>
            </c:ext>
          </c:extLst>
        </c:ser>
        <c:dLbls>
          <c:showLegendKey val="0"/>
          <c:showVal val="0"/>
          <c:showCatName val="0"/>
          <c:showSerName val="0"/>
          <c:showPercent val="0"/>
          <c:showBubbleSize val="0"/>
        </c:dLbls>
        <c:axId val="343648512"/>
        <c:axId val="343655168"/>
      </c:scatterChart>
      <c:valAx>
        <c:axId val="343648512"/>
        <c:scaling>
          <c:orientation val="minMax"/>
        </c:scaling>
        <c:delete val="0"/>
        <c:axPos val="b"/>
        <c:title>
          <c:tx>
            <c:rich>
              <a:bodyPr/>
              <a:lstStyle/>
              <a:p>
                <a:pPr>
                  <a:defRPr/>
                </a:pPr>
                <a:r>
                  <a:rPr lang="sv-SE"/>
                  <a:t>Load Fx (N)</a:t>
                </a:r>
              </a:p>
            </c:rich>
          </c:tx>
          <c:overlay val="0"/>
        </c:title>
        <c:numFmt formatCode="General" sourceLinked="1"/>
        <c:majorTickMark val="out"/>
        <c:minorTickMark val="none"/>
        <c:tickLblPos val="nextTo"/>
        <c:crossAx val="343655168"/>
        <c:crosses val="autoZero"/>
        <c:crossBetween val="midCat"/>
      </c:valAx>
      <c:valAx>
        <c:axId val="343655168"/>
        <c:scaling>
          <c:orientation val="minMax"/>
        </c:scaling>
        <c:delete val="0"/>
        <c:axPos val="l"/>
        <c:majorGridlines/>
        <c:title>
          <c:tx>
            <c:rich>
              <a:bodyPr rot="-5400000" vert="horz"/>
              <a:lstStyle/>
              <a:p>
                <a:pPr>
                  <a:defRPr/>
                </a:pPr>
                <a:r>
                  <a:rPr lang="sv-SE"/>
                  <a:t>Speed (mm/s)</a:t>
                </a:r>
              </a:p>
            </c:rich>
          </c:tx>
          <c:overlay val="0"/>
        </c:title>
        <c:numFmt formatCode="General" sourceLinked="1"/>
        <c:majorTickMark val="out"/>
        <c:minorTickMark val="none"/>
        <c:tickLblPos val="nextTo"/>
        <c:crossAx val="343648512"/>
        <c:crosses val="autoZero"/>
        <c:crossBetween val="midCat"/>
      </c:valAx>
    </c:plotArea>
    <c:legend>
      <c:legendPos val="r"/>
      <c:overlay val="0"/>
    </c:legend>
    <c:plotVisOnly val="1"/>
    <c:dispBlanksAs val="gap"/>
    <c:showDLblsOverMax val="0"/>
  </c:chart>
  <c:spPr>
    <a:noFill/>
    <a:ln w="19050">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chart" Target="../charts/chart1.xml"/><Relationship Id="rId6" Type="http://schemas.openxmlformats.org/officeDocument/2006/relationships/hyperlink" Target="#Information!A1"/><Relationship Id="rId5" Type="http://schemas.openxmlformats.org/officeDocument/2006/relationships/hyperlink" Target="#'fm factor'!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hyperlink" Target="#Input!A1"/><Relationship Id="rId5" Type="http://schemas.openxmlformats.org/officeDocument/2006/relationships/hyperlink" Target="#Information!A1"/><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fm factor'!A1"/><Relationship Id="rId1" Type="http://schemas.openxmlformats.org/officeDocument/2006/relationships/hyperlink" Target="#Input!A1"/><Relationship Id="rId6" Type="http://schemas.microsoft.com/office/2007/relationships/hdphoto" Target="../media/hdphoto2.wdp"/><Relationship Id="rId5" Type="http://schemas.openxmlformats.org/officeDocument/2006/relationships/image" Target="../media/image11.png"/><Relationship Id="rId4" Type="http://schemas.microsoft.com/office/2007/relationships/hdphoto" Target="../media/hdphoto1.wdp"/></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761134</xdr:colOff>
      <xdr:row>31</xdr:row>
      <xdr:rowOff>15586</xdr:rowOff>
    </xdr:from>
    <xdr:to>
      <xdr:col>11</xdr:col>
      <xdr:colOff>1885950</xdr:colOff>
      <xdr:row>43</xdr:row>
      <xdr:rowOff>38100</xdr:rowOff>
    </xdr:to>
    <xdr:graphicFrame macro="">
      <xdr:nvGraphicFramePr>
        <xdr:cNvPr id="20" name="Diagram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123827</xdr:colOff>
      <xdr:row>4</xdr:row>
      <xdr:rowOff>152399</xdr:rowOff>
    </xdr:from>
    <xdr:to>
      <xdr:col>11</xdr:col>
      <xdr:colOff>1536700</xdr:colOff>
      <xdr:row>9</xdr:row>
      <xdr:rowOff>200026</xdr:rowOff>
    </xdr:to>
    <xdr:grpSp>
      <xdr:nvGrpSpPr>
        <xdr:cNvPr id="6" name="Grupp 5">
          <a:extLst>
            <a:ext uri="{FF2B5EF4-FFF2-40B4-BE49-F238E27FC236}">
              <a16:creationId xmlns:a16="http://schemas.microsoft.com/office/drawing/2014/main" id="{00000000-0008-0000-0000-000006000000}"/>
            </a:ext>
          </a:extLst>
        </xdr:cNvPr>
        <xdr:cNvGrpSpPr/>
      </xdr:nvGrpSpPr>
      <xdr:grpSpPr>
        <a:xfrm>
          <a:off x="7010402" y="1057274"/>
          <a:ext cx="3032123" cy="1095377"/>
          <a:chOff x="4310833" y="726972"/>
          <a:chExt cx="3120706" cy="1107195"/>
        </a:xfrm>
      </xdr:grpSpPr>
      <xdr:pic>
        <xdr:nvPicPr>
          <xdr:cNvPr id="2430" name="Bildobjekt 5">
            <a:extLst>
              <a:ext uri="{FF2B5EF4-FFF2-40B4-BE49-F238E27FC236}">
                <a16:creationId xmlns:a16="http://schemas.microsoft.com/office/drawing/2014/main" id="{00000000-0008-0000-0000-00007E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0833" y="726972"/>
            <a:ext cx="2126765" cy="96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8" name="Rak pil 7">
            <a:extLst>
              <a:ext uri="{FF2B5EF4-FFF2-40B4-BE49-F238E27FC236}">
                <a16:creationId xmlns:a16="http://schemas.microsoft.com/office/drawing/2014/main" id="{00000000-0008-0000-0000-000008000000}"/>
              </a:ext>
            </a:extLst>
          </xdr:cNvPr>
          <xdr:cNvCxnSpPr/>
        </xdr:nvCxnSpPr>
        <xdr:spPr>
          <a:xfrm>
            <a:off x="6563014" y="1604066"/>
            <a:ext cx="480283" cy="58158"/>
          </a:xfrm>
          <a:prstGeom prst="straightConnector1">
            <a:avLst/>
          </a:prstGeom>
          <a:ln w="381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7016073" y="1522034"/>
            <a:ext cx="415466" cy="312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t>Fx</a:t>
            </a:r>
          </a:p>
        </xdr:txBody>
      </xdr:sp>
      <xdr:cxnSp macro="">
        <xdr:nvCxnSpPr>
          <xdr:cNvPr id="17" name="Rak pil 16">
            <a:extLst>
              <a:ext uri="{FF2B5EF4-FFF2-40B4-BE49-F238E27FC236}">
                <a16:creationId xmlns:a16="http://schemas.microsoft.com/office/drawing/2014/main" id="{00000000-0008-0000-0000-000011000000}"/>
              </a:ext>
            </a:extLst>
          </xdr:cNvPr>
          <xdr:cNvCxnSpPr/>
        </xdr:nvCxnSpPr>
        <xdr:spPr>
          <a:xfrm flipH="1">
            <a:off x="6292094" y="1172433"/>
            <a:ext cx="7620" cy="281941"/>
          </a:xfrm>
          <a:prstGeom prst="straightConnector1">
            <a:avLst/>
          </a:prstGeom>
          <a:ln w="381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textruta 18">
            <a:extLst>
              <a:ext uri="{FF2B5EF4-FFF2-40B4-BE49-F238E27FC236}">
                <a16:creationId xmlns:a16="http://schemas.microsoft.com/office/drawing/2014/main" id="{00000000-0008-0000-0000-000013000000}"/>
              </a:ext>
            </a:extLst>
          </xdr:cNvPr>
          <xdr:cNvSpPr txBox="1"/>
        </xdr:nvSpPr>
        <xdr:spPr>
          <a:xfrm>
            <a:off x="6075775" y="838432"/>
            <a:ext cx="491704" cy="30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t>Fy</a:t>
            </a:r>
          </a:p>
        </xdr:txBody>
      </xdr:sp>
    </xdr:grpSp>
    <xdr:clientData/>
  </xdr:twoCellAnchor>
  <xdr:twoCellAnchor>
    <xdr:from>
      <xdr:col>3</xdr:col>
      <xdr:colOff>237261</xdr:colOff>
      <xdr:row>14</xdr:row>
      <xdr:rowOff>171450</xdr:rowOff>
    </xdr:from>
    <xdr:to>
      <xdr:col>6</xdr:col>
      <xdr:colOff>748145</xdr:colOff>
      <xdr:row>26</xdr:row>
      <xdr:rowOff>174049</xdr:rowOff>
    </xdr:to>
    <xdr:graphicFrame macro="">
      <xdr:nvGraphicFramePr>
        <xdr:cNvPr id="12" name="Diagram 9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133959</xdr:colOff>
      <xdr:row>0</xdr:row>
      <xdr:rowOff>95250</xdr:rowOff>
    </xdr:from>
    <xdr:to>
      <xdr:col>11</xdr:col>
      <xdr:colOff>1776510</xdr:colOff>
      <xdr:row>2</xdr:row>
      <xdr:rowOff>180974</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39659" y="95250"/>
          <a:ext cx="2490276" cy="609599"/>
        </a:xfrm>
        <a:prstGeom prst="rect">
          <a:avLst/>
        </a:prstGeom>
      </xdr:spPr>
    </xdr:pic>
    <xdr:clientData/>
  </xdr:twoCellAnchor>
  <xdr:twoCellAnchor>
    <xdr:from>
      <xdr:col>1</xdr:col>
      <xdr:colOff>9526</xdr:colOff>
      <xdr:row>0</xdr:row>
      <xdr:rowOff>76200</xdr:rowOff>
    </xdr:from>
    <xdr:to>
      <xdr:col>9</xdr:col>
      <xdr:colOff>104775</xdr:colOff>
      <xdr:row>3</xdr:row>
      <xdr:rowOff>104775</xdr:rowOff>
    </xdr:to>
    <xdr:grpSp>
      <xdr:nvGrpSpPr>
        <xdr:cNvPr id="2" name="Grupp 1">
          <a:extLst>
            <a:ext uri="{FF2B5EF4-FFF2-40B4-BE49-F238E27FC236}">
              <a16:creationId xmlns:a16="http://schemas.microsoft.com/office/drawing/2014/main" id="{D8424718-3D1A-46D7-A0B4-207FDFC19BAC}"/>
            </a:ext>
          </a:extLst>
        </xdr:cNvPr>
        <xdr:cNvGrpSpPr/>
      </xdr:nvGrpSpPr>
      <xdr:grpSpPr>
        <a:xfrm>
          <a:off x="200026" y="76200"/>
          <a:ext cx="7562849" cy="742950"/>
          <a:chOff x="2971799" y="447675"/>
          <a:chExt cx="7654806" cy="1216092"/>
        </a:xfrm>
      </xdr:grpSpPr>
      <xdr:sp macro="" textlink="">
        <xdr:nvSpPr>
          <xdr:cNvPr id="21" name="Rubrik" descr="Enkel budget" title="Mallrubrik">
            <a:extLst>
              <a:ext uri="{FF2B5EF4-FFF2-40B4-BE49-F238E27FC236}">
                <a16:creationId xmlns:a16="http://schemas.microsoft.com/office/drawing/2014/main" id="{396B2029-5ECA-486B-BCC2-A997D290A7C0}"/>
              </a:ext>
            </a:extLst>
          </xdr:cNvPr>
          <xdr:cNvSpPr txBox="1"/>
        </xdr:nvSpPr>
        <xdr:spPr>
          <a:xfrm>
            <a:off x="2971799" y="447675"/>
            <a:ext cx="7654806" cy="1033271"/>
          </a:xfrm>
          <a:prstGeom prst="rect">
            <a:avLst/>
          </a:prstGeom>
          <a:ln>
            <a:noFill/>
          </a:ln>
          <a:effectLst/>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pPr marL="0" indent="0" algn="l" rtl="0"/>
            <a:r>
              <a:rPr lang="sv-SE" sz="2400">
                <a:solidFill>
                  <a:schemeClr val="bg1"/>
                </a:solidFill>
                <a:latin typeface="+mj-lt"/>
                <a:ea typeface="+mn-ea"/>
                <a:cs typeface="+mn-cs"/>
              </a:rPr>
              <a:t>Application Sizing</a:t>
            </a:r>
            <a:r>
              <a:rPr lang="sv-SE" sz="2400" baseline="0">
                <a:solidFill>
                  <a:schemeClr val="bg1"/>
                </a:solidFill>
                <a:latin typeface="+mj-lt"/>
                <a:ea typeface="+mn-ea"/>
                <a:cs typeface="+mn-cs"/>
              </a:rPr>
              <a:t> Tool For PC Series Actuators </a:t>
            </a:r>
            <a:endParaRPr lang="en-US" sz="2400">
              <a:solidFill>
                <a:schemeClr val="bg1"/>
              </a:solidFill>
              <a:latin typeface="+mj-lt"/>
              <a:ea typeface="+mn-ea"/>
              <a:cs typeface="+mn-cs"/>
            </a:endParaRPr>
          </a:p>
        </xdr:txBody>
      </xdr:sp>
      <xdr:sp macro="" textlink="">
        <xdr:nvSpPr>
          <xdr:cNvPr id="22" name="Budgetår" descr="Innehåller kalenderåret, till exempel 2014." title="Budgetår">
            <a:extLst>
              <a:ext uri="{FF2B5EF4-FFF2-40B4-BE49-F238E27FC236}">
                <a16:creationId xmlns:a16="http://schemas.microsoft.com/office/drawing/2014/main" id="{98A66B45-855D-4532-AFFF-52872A80FF53}"/>
              </a:ext>
            </a:extLst>
          </xdr:cNvPr>
          <xdr:cNvSpPr/>
        </xdr:nvSpPr>
        <xdr:spPr>
          <a:xfrm>
            <a:off x="9841807" y="612207"/>
            <a:ext cx="685800" cy="1051560"/>
          </a:xfrm>
          <a:prstGeom prst="rect">
            <a:avLst/>
          </a:prstGeom>
          <a:ln>
            <a:noFill/>
          </a:ln>
        </xdr:spPr>
        <xdr:style>
          <a:lnRef idx="3">
            <a:schemeClr val="lt1"/>
          </a:lnRef>
          <a:fillRef idx="1">
            <a:schemeClr val="accent1"/>
          </a:fillRef>
          <a:effectRef idx="1">
            <a:schemeClr val="accent1"/>
          </a:effectRef>
          <a:fontRef idx="minor">
            <a:schemeClr val="lt1"/>
          </a:fontRef>
        </xdr:style>
        <xdr:txBody>
          <a:bodyPr vertOverflow="clip" horzOverflow="clip" lIns="0" rIns="0" bIns="91440" rtlCol="0" anchor="b"/>
          <a:lstStyle/>
          <a:p>
            <a:pPr algn="ctr"/>
            <a:r>
              <a:rPr lang="en-US" sz="1600">
                <a:solidFill>
                  <a:schemeClr val="bg1"/>
                </a:solidFill>
                <a:latin typeface="+mj-lt"/>
              </a:rPr>
              <a:t>2017</a:t>
            </a:r>
          </a:p>
        </xdr:txBody>
      </xdr:sp>
    </xdr:grpSp>
    <xdr:clientData/>
  </xdr:twoCellAnchor>
  <xdr:twoCellAnchor>
    <xdr:from>
      <xdr:col>1</xdr:col>
      <xdr:colOff>571500</xdr:colOff>
      <xdr:row>20</xdr:row>
      <xdr:rowOff>9525</xdr:rowOff>
    </xdr:from>
    <xdr:to>
      <xdr:col>1</xdr:col>
      <xdr:colOff>1352550</xdr:colOff>
      <xdr:row>21</xdr:row>
      <xdr:rowOff>9525</xdr:rowOff>
    </xdr:to>
    <xdr:sp macro="" textlink="">
      <xdr:nvSpPr>
        <xdr:cNvPr id="5" name="Rektangel: övre hörn klippta 4">
          <a:hlinkClick xmlns:r="http://schemas.openxmlformats.org/officeDocument/2006/relationships" r:id="rId5" tooltip="Go to fm factor tab"/>
          <a:extLst>
            <a:ext uri="{FF2B5EF4-FFF2-40B4-BE49-F238E27FC236}">
              <a16:creationId xmlns:a16="http://schemas.microsoft.com/office/drawing/2014/main" id="{1C17C548-9284-4BC7-B82A-2836589233C3}"/>
            </a:ext>
          </a:extLst>
        </xdr:cNvPr>
        <xdr:cNvSpPr/>
      </xdr:nvSpPr>
      <xdr:spPr>
        <a:xfrm>
          <a:off x="762000" y="4095750"/>
          <a:ext cx="781050" cy="190500"/>
        </a:xfrm>
        <a:prstGeom prst="snip2Same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sv-SE" sz="1000" i="1">
              <a:latin typeface="+mj-lt"/>
            </a:rPr>
            <a:t>fm</a:t>
          </a:r>
          <a:r>
            <a:rPr lang="sv-SE" sz="1000" i="1" baseline="0">
              <a:latin typeface="+mj-lt"/>
            </a:rPr>
            <a:t> factor</a:t>
          </a:r>
          <a:endParaRPr lang="sv-SE" sz="1000" i="1">
            <a:latin typeface="+mj-lt"/>
          </a:endParaRPr>
        </a:p>
      </xdr:txBody>
    </xdr:sp>
    <xdr:clientData/>
  </xdr:twoCellAnchor>
  <xdr:twoCellAnchor>
    <xdr:from>
      <xdr:col>5</xdr:col>
      <xdr:colOff>257175</xdr:colOff>
      <xdr:row>30</xdr:row>
      <xdr:rowOff>0</xdr:rowOff>
    </xdr:from>
    <xdr:to>
      <xdr:col>6</xdr:col>
      <xdr:colOff>361950</xdr:colOff>
      <xdr:row>30</xdr:row>
      <xdr:rowOff>200026</xdr:rowOff>
    </xdr:to>
    <xdr:sp macro="" textlink="">
      <xdr:nvSpPr>
        <xdr:cNvPr id="24" name="Rektangel: övre hörn klippta 23">
          <a:hlinkClick xmlns:r="http://schemas.openxmlformats.org/officeDocument/2006/relationships" r:id="rId6" tooltip="Go to Information tab"/>
          <a:extLst>
            <a:ext uri="{FF2B5EF4-FFF2-40B4-BE49-F238E27FC236}">
              <a16:creationId xmlns:a16="http://schemas.microsoft.com/office/drawing/2014/main" id="{7AC7F373-EA44-4100-857F-8464DF14461F}"/>
            </a:ext>
          </a:extLst>
        </xdr:cNvPr>
        <xdr:cNvSpPr/>
      </xdr:nvSpPr>
      <xdr:spPr>
        <a:xfrm>
          <a:off x="4743450" y="5829300"/>
          <a:ext cx="828675" cy="200026"/>
        </a:xfrm>
        <a:prstGeom prst="snip2Same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sv-SE" sz="900" i="1">
              <a:latin typeface="+mj-lt"/>
            </a:rPr>
            <a:t>Information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0.44039</cdr:x>
      <cdr:y>0.01708</cdr:y>
    </cdr:from>
    <cdr:to>
      <cdr:x>0.63854</cdr:x>
      <cdr:y>0.11069</cdr:y>
    </cdr:to>
    <cdr:sp macro="" textlink="">
      <cdr:nvSpPr>
        <cdr:cNvPr id="3" name="textruta 2">
          <a:extLst xmlns:a="http://schemas.openxmlformats.org/drawingml/2006/main">
            <a:ext uri="{FF2B5EF4-FFF2-40B4-BE49-F238E27FC236}">
              <a16:creationId xmlns:a16="http://schemas.microsoft.com/office/drawing/2014/main" id="{67C7002D-96D4-4390-B39F-FA23F4C77B5E}"/>
            </a:ext>
          </a:extLst>
        </cdr:cNvPr>
        <cdr:cNvSpPr txBox="1"/>
      </cdr:nvSpPr>
      <cdr:spPr>
        <a:xfrm xmlns:a="http://schemas.openxmlformats.org/drawingml/2006/main">
          <a:off x="1799539" y="38713"/>
          <a:ext cx="809686"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200" b="1"/>
            <a:t>and</a:t>
          </a:r>
        </a:p>
      </cdr:txBody>
    </cdr:sp>
  </cdr:relSizeAnchor>
  <cdr:relSizeAnchor xmlns:cdr="http://schemas.openxmlformats.org/drawingml/2006/chartDrawing">
    <cdr:from>
      <cdr:x>0.54434</cdr:x>
      <cdr:y>0.01261</cdr:y>
    </cdr:from>
    <cdr:to>
      <cdr:x>0.78858</cdr:x>
      <cdr:y>0.10621</cdr:y>
    </cdr:to>
    <cdr:sp macro="" textlink="Input!$E$32">
      <cdr:nvSpPr>
        <cdr:cNvPr id="4" name="textruta 3">
          <a:extLst xmlns:a="http://schemas.openxmlformats.org/drawingml/2006/main">
            <a:ext uri="{FF2B5EF4-FFF2-40B4-BE49-F238E27FC236}">
              <a16:creationId xmlns:a16="http://schemas.microsoft.com/office/drawing/2014/main" id="{0A8931C2-83A4-4D67-8B41-7F0A34CE27AA}"/>
            </a:ext>
          </a:extLst>
        </cdr:cNvPr>
        <cdr:cNvSpPr txBox="1"/>
      </cdr:nvSpPr>
      <cdr:spPr>
        <a:xfrm xmlns:a="http://schemas.openxmlformats.org/drawingml/2006/main">
          <a:off x="2224303" y="28575"/>
          <a:ext cx="998021"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0C3B2EA-7302-47FB-82A1-006C851EDFEB}" type="TxLink">
            <a:rPr lang="en-US" sz="1200" b="1" i="0" u="none" strike="noStrike">
              <a:solidFill>
                <a:sysClr val="windowText" lastClr="000000"/>
              </a:solidFill>
              <a:latin typeface="Calibri"/>
            </a:rPr>
            <a:pPr/>
            <a:t>AKM22E</a:t>
          </a:fld>
          <a:endParaRPr lang="sv-SE" sz="1800">
            <a:solidFill>
              <a:sysClr val="windowText" lastClr="000000"/>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200025</xdr:colOff>
      <xdr:row>10</xdr:row>
      <xdr:rowOff>133350</xdr:rowOff>
    </xdr:from>
    <xdr:to>
      <xdr:col>20</xdr:col>
      <xdr:colOff>523875</xdr:colOff>
      <xdr:row>48</xdr:row>
      <xdr:rowOff>142874</xdr:rowOff>
    </xdr:to>
    <xdr:graphicFrame macro="">
      <xdr:nvGraphicFramePr>
        <xdr:cNvPr id="2" name="Diagram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19050</xdr:colOff>
      <xdr:row>57</xdr:row>
      <xdr:rowOff>38100</xdr:rowOff>
    </xdr:from>
    <xdr:to>
      <xdr:col>31</xdr:col>
      <xdr:colOff>371475</xdr:colOff>
      <xdr:row>82</xdr:row>
      <xdr:rowOff>114300</xdr:rowOff>
    </xdr:to>
    <xdr:graphicFrame macro="">
      <xdr:nvGraphicFramePr>
        <xdr:cNvPr id="3" name="Diagram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114300</xdr:colOff>
      <xdr:row>84</xdr:row>
      <xdr:rowOff>114300</xdr:rowOff>
    </xdr:from>
    <xdr:to>
      <xdr:col>27</xdr:col>
      <xdr:colOff>419100</xdr:colOff>
      <xdr:row>101</xdr:row>
      <xdr:rowOff>104775</xdr:rowOff>
    </xdr:to>
    <xdr:graphicFrame macro="">
      <xdr:nvGraphicFramePr>
        <xdr:cNvPr id="4" name="Diagram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0.32079</cdr:x>
      <cdr:y>0.01597</cdr:y>
    </cdr:from>
    <cdr:to>
      <cdr:x>0.59787</cdr:x>
      <cdr:y>0.06852</cdr:y>
    </cdr:to>
    <cdr:grpSp>
      <cdr:nvGrpSpPr>
        <cdr:cNvPr id="6" name="Grupp 5">
          <a:extLst xmlns:a="http://schemas.openxmlformats.org/drawingml/2006/main">
            <a:ext uri="{FF2B5EF4-FFF2-40B4-BE49-F238E27FC236}">
              <a16:creationId xmlns:a16="http://schemas.microsoft.com/office/drawing/2014/main" id="{8DB63C92-4DDC-4EC0-827A-5BA4FC4721EE}"/>
            </a:ext>
          </a:extLst>
        </cdr:cNvPr>
        <cdr:cNvGrpSpPr/>
      </cdr:nvGrpSpPr>
      <cdr:grpSpPr>
        <a:xfrm xmlns:a="http://schemas.openxmlformats.org/drawingml/2006/main">
          <a:off x="2722473" y="98418"/>
          <a:ext cx="2351515" cy="323848"/>
          <a:chOff x="2679700" y="98425"/>
          <a:chExt cx="2314575" cy="323851"/>
        </a:xfrm>
      </cdr:grpSpPr>
      <cdr:sp macro="" textlink="'PC32 Graphs'!$B$2">
        <cdr:nvSpPr>
          <cdr:cNvPr id="3" name="textruta 2">
            <a:extLst xmlns:a="http://schemas.openxmlformats.org/drawingml/2006/main">
              <a:ext uri="{FF2B5EF4-FFF2-40B4-BE49-F238E27FC236}">
                <a16:creationId xmlns:a16="http://schemas.microsoft.com/office/drawing/2014/main" id="{F20C07D3-33A6-456B-8CD8-811CE3B03EB3}"/>
              </a:ext>
            </a:extLst>
          </cdr:cNvPr>
          <cdr:cNvSpPr txBox="1"/>
        </cdr:nvSpPr>
        <cdr:spPr>
          <a:xfrm xmlns:a="http://schemas.openxmlformats.org/drawingml/2006/main">
            <a:off x="2679700" y="98425"/>
            <a:ext cx="1047749" cy="3238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F29247A-6DED-4A42-93C1-CF0B226E3E02}" type="TxLink">
              <a:rPr lang="en-US" sz="1800" b="1" i="0" u="none" strike="noStrike">
                <a:solidFill>
                  <a:srgbClr val="000000"/>
                </a:solidFill>
                <a:latin typeface="+mn-lt"/>
                <a:cs typeface="Arial"/>
              </a:rPr>
              <a:pPr/>
              <a:t>AKM22E</a:t>
            </a:fld>
            <a:endParaRPr lang="sv-SE" sz="1800" b="1">
              <a:latin typeface="+mn-lt"/>
            </a:endParaRPr>
          </a:p>
        </cdr:txBody>
      </cdr:sp>
      <cdr:sp macro="" textlink="'PC32 Graphs'!$D$2">
        <cdr:nvSpPr>
          <cdr:cNvPr id="4" name="textruta 3">
            <a:extLst xmlns:a="http://schemas.openxmlformats.org/drawingml/2006/main">
              <a:ext uri="{FF2B5EF4-FFF2-40B4-BE49-F238E27FC236}">
                <a16:creationId xmlns:a16="http://schemas.microsoft.com/office/drawing/2014/main" id="{674CBECA-8700-4701-8E00-8F5705A87FE1}"/>
              </a:ext>
            </a:extLst>
          </cdr:cNvPr>
          <cdr:cNvSpPr txBox="1"/>
        </cdr:nvSpPr>
        <cdr:spPr>
          <a:xfrm xmlns:a="http://schemas.openxmlformats.org/drawingml/2006/main">
            <a:off x="3679825" y="98425"/>
            <a:ext cx="1314450" cy="2857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D2691CE-1FCD-4131-B888-905F94B5BD34}" type="TxLink">
              <a:rPr lang="en-US" sz="1800" b="1" i="0" u="none" strike="noStrike">
                <a:solidFill>
                  <a:srgbClr val="000000"/>
                </a:solidFill>
                <a:latin typeface="+mn-lt"/>
                <a:cs typeface="Arial"/>
              </a:rPr>
              <a:pPr/>
              <a:t>(240 VAC)</a:t>
            </a:fld>
            <a:endParaRPr lang="sv-SE" sz="1800" b="1">
              <a:latin typeface="+mn-lt"/>
            </a:endParaRPr>
          </a:p>
        </cdr:txBody>
      </cdr:sp>
    </cdr:grpSp>
  </cdr:relSizeAnchor>
</c:userShapes>
</file>

<file path=xl/drawings/drawing13.xml><?xml version="1.0" encoding="utf-8"?>
<c:userShapes xmlns:c="http://schemas.openxmlformats.org/drawingml/2006/chart">
  <cdr:relSizeAnchor xmlns:cdr="http://schemas.openxmlformats.org/drawingml/2006/chartDrawing">
    <cdr:from>
      <cdr:x>0.44039</cdr:x>
      <cdr:y>0.01708</cdr:y>
    </cdr:from>
    <cdr:to>
      <cdr:x>0.63854</cdr:x>
      <cdr:y>0.11069</cdr:y>
    </cdr:to>
    <cdr:sp macro="" textlink="">
      <cdr:nvSpPr>
        <cdr:cNvPr id="3" name="textruta 2">
          <a:extLst xmlns:a="http://schemas.openxmlformats.org/drawingml/2006/main">
            <a:ext uri="{FF2B5EF4-FFF2-40B4-BE49-F238E27FC236}">
              <a16:creationId xmlns:a16="http://schemas.microsoft.com/office/drawing/2014/main" id="{EDBF6120-7EBB-49F6-B445-44D98DAAA223}"/>
            </a:ext>
          </a:extLst>
        </cdr:cNvPr>
        <cdr:cNvSpPr txBox="1"/>
      </cdr:nvSpPr>
      <cdr:spPr>
        <a:xfrm xmlns:a="http://schemas.openxmlformats.org/drawingml/2006/main">
          <a:off x="1799539" y="38713"/>
          <a:ext cx="809686"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200" b="1"/>
            <a:t>and</a:t>
          </a:r>
        </a:p>
      </cdr:txBody>
    </cdr:sp>
  </cdr:relSizeAnchor>
  <cdr:relSizeAnchor xmlns:cdr="http://schemas.openxmlformats.org/drawingml/2006/chartDrawing">
    <cdr:from>
      <cdr:x>0.54434</cdr:x>
      <cdr:y>0.01261</cdr:y>
    </cdr:from>
    <cdr:to>
      <cdr:x>0.78858</cdr:x>
      <cdr:y>0.10621</cdr:y>
    </cdr:to>
    <cdr:sp macro="" textlink="Input!$E$32">
      <cdr:nvSpPr>
        <cdr:cNvPr id="4" name="textruta 3">
          <a:extLst xmlns:a="http://schemas.openxmlformats.org/drawingml/2006/main">
            <a:ext uri="{FF2B5EF4-FFF2-40B4-BE49-F238E27FC236}">
              <a16:creationId xmlns:a16="http://schemas.microsoft.com/office/drawing/2014/main" id="{04BFFE64-397E-4542-9A31-5BFD0EB9C3AE}"/>
            </a:ext>
          </a:extLst>
        </cdr:cNvPr>
        <cdr:cNvSpPr txBox="1"/>
      </cdr:nvSpPr>
      <cdr:spPr>
        <a:xfrm xmlns:a="http://schemas.openxmlformats.org/drawingml/2006/main">
          <a:off x="2224303" y="28575"/>
          <a:ext cx="998021"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0C3B2EA-7302-47FB-82A1-006C851EDFEB}" type="TxLink">
            <a:rPr lang="en-US" sz="1200" b="1" i="0" u="none" strike="noStrike">
              <a:solidFill>
                <a:sysClr val="windowText" lastClr="000000"/>
              </a:solidFill>
              <a:latin typeface="Calibri"/>
            </a:rPr>
            <a:pPr/>
            <a:t>AKM22E</a:t>
          </a:fld>
          <a:endParaRPr lang="sv-SE" sz="1800">
            <a:solidFill>
              <a:sysClr val="windowText" lastClr="000000"/>
            </a:solidFil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0.55833</cdr:x>
      <cdr:y>0.01563</cdr:y>
    </cdr:from>
    <cdr:to>
      <cdr:x>0.7</cdr:x>
      <cdr:y>0.11979</cdr:y>
    </cdr:to>
    <cdr:sp macro="" textlink="">
      <cdr:nvSpPr>
        <cdr:cNvPr id="2" name="textruta 1">
          <a:extLst xmlns:a="http://schemas.openxmlformats.org/drawingml/2006/main">
            <a:ext uri="{FF2B5EF4-FFF2-40B4-BE49-F238E27FC236}">
              <a16:creationId xmlns:a16="http://schemas.microsoft.com/office/drawing/2014/main" id="{C46C66F0-514D-47D2-8656-C30A0E77F870}"/>
            </a:ext>
          </a:extLst>
        </cdr:cNvPr>
        <cdr:cNvSpPr txBox="1"/>
      </cdr:nvSpPr>
      <cdr:spPr>
        <a:xfrm xmlns:a="http://schemas.openxmlformats.org/drawingml/2006/main">
          <a:off x="2552700" y="42863"/>
          <a:ext cx="6477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t>and</a:t>
          </a:r>
          <a:endParaRPr lang="sv-SE" sz="1400" b="1"/>
        </a:p>
        <a:p xmlns:a="http://schemas.openxmlformats.org/drawingml/2006/main">
          <a:endParaRPr lang="sv-SE" sz="1100"/>
        </a:p>
      </cdr:txBody>
    </cdr:sp>
  </cdr:relSizeAnchor>
  <cdr:relSizeAnchor xmlns:cdr="http://schemas.openxmlformats.org/drawingml/2006/chartDrawing">
    <cdr:from>
      <cdr:x>0.71875</cdr:x>
      <cdr:y>0</cdr:y>
    </cdr:from>
    <cdr:to>
      <cdr:x>0.91875</cdr:x>
      <cdr:y>0.10764</cdr:y>
    </cdr:to>
    <cdr:sp macro="" textlink="Input!$E$32">
      <cdr:nvSpPr>
        <cdr:cNvPr id="3" name="textruta 2">
          <a:extLst xmlns:a="http://schemas.openxmlformats.org/drawingml/2006/main">
            <a:ext uri="{FF2B5EF4-FFF2-40B4-BE49-F238E27FC236}">
              <a16:creationId xmlns:a16="http://schemas.microsoft.com/office/drawing/2014/main" id="{3637819E-9FF2-4184-838C-02B5C58BE625}"/>
            </a:ext>
          </a:extLst>
        </cdr:cNvPr>
        <cdr:cNvSpPr txBox="1"/>
      </cdr:nvSpPr>
      <cdr:spPr>
        <a:xfrm xmlns:a="http://schemas.openxmlformats.org/drawingml/2006/main">
          <a:off x="3286140" y="0"/>
          <a:ext cx="914400" cy="2952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B2F2238-BFA3-4920-9250-4B7250EEF27C}" type="TxLink">
            <a:rPr lang="en-US" sz="1400" b="1" i="0" u="none" strike="noStrike">
              <a:solidFill>
                <a:sysClr val="windowText" lastClr="000000"/>
              </a:solidFill>
              <a:latin typeface="Calibri"/>
            </a:rPr>
            <a:pPr/>
            <a:t>AKM22E</a:t>
          </a:fld>
          <a:endParaRPr lang="sv-SE" sz="2000">
            <a:solidFill>
              <a:sysClr val="windowText" lastClr="000000"/>
            </a:solidFill>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7</xdr:col>
      <xdr:colOff>400050</xdr:colOff>
      <xdr:row>12</xdr:row>
      <xdr:rowOff>76200</xdr:rowOff>
    </xdr:from>
    <xdr:to>
      <xdr:col>21</xdr:col>
      <xdr:colOff>114300</xdr:colOff>
      <xdr:row>50</xdr:row>
      <xdr:rowOff>85724</xdr:rowOff>
    </xdr:to>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104775</xdr:colOff>
      <xdr:row>81</xdr:row>
      <xdr:rowOff>142875</xdr:rowOff>
    </xdr:from>
    <xdr:to>
      <xdr:col>26</xdr:col>
      <xdr:colOff>457200</xdr:colOff>
      <xdr:row>107</xdr:row>
      <xdr:rowOff>57150</xdr:rowOff>
    </xdr:to>
    <xdr:graphicFrame macro="">
      <xdr:nvGraphicFramePr>
        <xdr:cNvPr id="3" name="Diagram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0.32079</cdr:x>
      <cdr:y>0.01597</cdr:y>
    </cdr:from>
    <cdr:to>
      <cdr:x>0.59787</cdr:x>
      <cdr:y>0.06852</cdr:y>
    </cdr:to>
    <cdr:grpSp>
      <cdr:nvGrpSpPr>
        <cdr:cNvPr id="6" name="Grupp 5">
          <a:extLst xmlns:a="http://schemas.openxmlformats.org/drawingml/2006/main">
            <a:ext uri="{FF2B5EF4-FFF2-40B4-BE49-F238E27FC236}">
              <a16:creationId xmlns:a16="http://schemas.microsoft.com/office/drawing/2014/main" id="{16D0F98B-20D3-48E1-AEA4-47E0E61B0A38}"/>
            </a:ext>
          </a:extLst>
        </cdr:cNvPr>
        <cdr:cNvGrpSpPr/>
      </cdr:nvGrpSpPr>
      <cdr:grpSpPr>
        <a:xfrm xmlns:a="http://schemas.openxmlformats.org/drawingml/2006/main">
          <a:off x="2679695" y="98418"/>
          <a:ext cx="2314567" cy="323848"/>
          <a:chOff x="2679695" y="98418"/>
          <a:chExt cx="2314567" cy="323848"/>
        </a:xfrm>
      </cdr:grpSpPr>
      <cdr:sp macro="" textlink="'PC25 Graphs'!$B$3">
        <cdr:nvSpPr>
          <cdr:cNvPr id="3" name="textruta 2">
            <a:extLst xmlns:a="http://schemas.openxmlformats.org/drawingml/2006/main">
              <a:ext uri="{FF2B5EF4-FFF2-40B4-BE49-F238E27FC236}">
                <a16:creationId xmlns:a16="http://schemas.microsoft.com/office/drawing/2014/main" id="{4072EE5A-B894-4356-92F5-161B4CD1E8FC}"/>
              </a:ext>
            </a:extLst>
          </cdr:cNvPr>
          <cdr:cNvSpPr txBox="1"/>
        </cdr:nvSpPr>
        <cdr:spPr>
          <a:xfrm xmlns:a="http://schemas.openxmlformats.org/drawingml/2006/main">
            <a:off x="2679695" y="98418"/>
            <a:ext cx="1047745" cy="3238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6CF8AF1-8616-4970-BD0F-C6EEE31F6F71}" type="TxLink">
              <a:rPr lang="en-US" sz="1800" b="1" i="0" u="none" strike="noStrike">
                <a:solidFill>
                  <a:srgbClr val="000000"/>
                </a:solidFill>
                <a:latin typeface="+mn-lt"/>
                <a:cs typeface="Arial"/>
              </a:rPr>
              <a:pPr/>
              <a:t>AKM22E</a:t>
            </a:fld>
            <a:endParaRPr lang="sv-SE" sz="1800" b="1">
              <a:latin typeface="+mn-lt"/>
            </a:endParaRPr>
          </a:p>
        </cdr:txBody>
      </cdr:sp>
      <cdr:sp macro="" textlink="'PC25 Graphs'!$D$3">
        <cdr:nvSpPr>
          <cdr:cNvPr id="4" name="textruta 3">
            <a:extLst xmlns:a="http://schemas.openxmlformats.org/drawingml/2006/main">
              <a:ext uri="{FF2B5EF4-FFF2-40B4-BE49-F238E27FC236}">
                <a16:creationId xmlns:a16="http://schemas.microsoft.com/office/drawing/2014/main" id="{86DA09B4-77A0-4929-88C9-F2675F098263}"/>
              </a:ext>
            </a:extLst>
          </cdr:cNvPr>
          <cdr:cNvSpPr txBox="1"/>
        </cdr:nvSpPr>
        <cdr:spPr>
          <a:xfrm xmlns:a="http://schemas.openxmlformats.org/drawingml/2006/main">
            <a:off x="3679817" y="98418"/>
            <a:ext cx="1314445" cy="28574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1B8EE71-B54D-4944-8306-599086021919}" type="TxLink">
              <a:rPr lang="en-US" sz="1800" b="1" i="0" u="none" strike="noStrike">
                <a:solidFill>
                  <a:srgbClr val="000000"/>
                </a:solidFill>
                <a:latin typeface="+mn-lt"/>
                <a:cs typeface="Arial"/>
              </a:rPr>
              <a:pPr/>
              <a:t>(240 VAC)</a:t>
            </a:fld>
            <a:endParaRPr lang="sv-SE" sz="1800" b="1">
              <a:latin typeface="+mn-lt"/>
            </a:endParaRPr>
          </a:p>
        </cdr:txBody>
      </cdr:sp>
    </cdr:grpSp>
  </cdr:relSizeAnchor>
</c:userShapes>
</file>

<file path=xl/drawings/drawing17.xml><?xml version="1.0" encoding="utf-8"?>
<c:userShapes xmlns:c="http://schemas.openxmlformats.org/drawingml/2006/chart">
  <cdr:relSizeAnchor xmlns:cdr="http://schemas.openxmlformats.org/drawingml/2006/chartDrawing">
    <cdr:from>
      <cdr:x>0.44039</cdr:x>
      <cdr:y>0.01708</cdr:y>
    </cdr:from>
    <cdr:to>
      <cdr:x>0.63854</cdr:x>
      <cdr:y>0.11069</cdr:y>
    </cdr:to>
    <cdr:sp macro="" textlink="">
      <cdr:nvSpPr>
        <cdr:cNvPr id="3" name="textruta 2">
          <a:extLst xmlns:a="http://schemas.openxmlformats.org/drawingml/2006/main">
            <a:ext uri="{FF2B5EF4-FFF2-40B4-BE49-F238E27FC236}">
              <a16:creationId xmlns:a16="http://schemas.microsoft.com/office/drawing/2014/main" id="{7FF01926-A6AD-46C3-BF06-85C7597EA1C0}"/>
            </a:ext>
          </a:extLst>
        </cdr:cNvPr>
        <cdr:cNvSpPr txBox="1"/>
      </cdr:nvSpPr>
      <cdr:spPr>
        <a:xfrm xmlns:a="http://schemas.openxmlformats.org/drawingml/2006/main">
          <a:off x="1799539" y="38713"/>
          <a:ext cx="809686"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200" b="1"/>
            <a:t>and</a:t>
          </a:r>
        </a:p>
      </cdr:txBody>
    </cdr:sp>
  </cdr:relSizeAnchor>
  <cdr:relSizeAnchor xmlns:cdr="http://schemas.openxmlformats.org/drawingml/2006/chartDrawing">
    <cdr:from>
      <cdr:x>0.54434</cdr:x>
      <cdr:y>0.01261</cdr:y>
    </cdr:from>
    <cdr:to>
      <cdr:x>0.78858</cdr:x>
      <cdr:y>0.10621</cdr:y>
    </cdr:to>
    <cdr:sp macro="" textlink="Input!$E$32">
      <cdr:nvSpPr>
        <cdr:cNvPr id="4" name="textruta 3">
          <a:extLst xmlns:a="http://schemas.openxmlformats.org/drawingml/2006/main">
            <a:ext uri="{FF2B5EF4-FFF2-40B4-BE49-F238E27FC236}">
              <a16:creationId xmlns:a16="http://schemas.microsoft.com/office/drawing/2014/main" id="{8DB94F3C-18DE-4ABC-8837-C95A61C3AF88}"/>
            </a:ext>
          </a:extLst>
        </cdr:cNvPr>
        <cdr:cNvSpPr txBox="1"/>
      </cdr:nvSpPr>
      <cdr:spPr>
        <a:xfrm xmlns:a="http://schemas.openxmlformats.org/drawingml/2006/main">
          <a:off x="2224303" y="28575"/>
          <a:ext cx="998021" cy="2122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0C3B2EA-7302-47FB-82A1-006C851EDFEB}" type="TxLink">
            <a:rPr lang="en-US" sz="1200" b="1" i="0" u="none" strike="noStrike">
              <a:solidFill>
                <a:sysClr val="windowText" lastClr="000000"/>
              </a:solidFill>
              <a:latin typeface="Calibri"/>
            </a:rPr>
            <a:pPr/>
            <a:t>AKM22E</a:t>
          </a:fld>
          <a:endParaRPr lang="sv-SE" sz="1800">
            <a:solidFill>
              <a:sysClr val="windowText" lastClr="000000"/>
            </a:solidFill>
          </a:endParaRP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361950</xdr:colOff>
      <xdr:row>21</xdr:row>
      <xdr:rowOff>152400</xdr:rowOff>
    </xdr:from>
    <xdr:ext cx="3133726" cy="592470"/>
    <mc:AlternateContent xmlns:mc="http://schemas.openxmlformats.org/markup-compatibility/2006" xmlns:a14="http://schemas.microsoft.com/office/drawing/2010/main">
      <mc:Choice Requires="a14">
        <xdr:sp macro="" textlink="">
          <xdr:nvSpPr>
            <xdr:cNvPr id="7" name="textruta 6">
              <a:extLst>
                <a:ext uri="{FF2B5EF4-FFF2-40B4-BE49-F238E27FC236}">
                  <a16:creationId xmlns:a16="http://schemas.microsoft.com/office/drawing/2014/main" id="{00000000-0008-0000-0100-000007000000}"/>
                </a:ext>
              </a:extLst>
            </xdr:cNvPr>
            <xdr:cNvSpPr txBox="1"/>
          </xdr:nvSpPr>
          <xdr:spPr>
            <a:xfrm>
              <a:off x="361950" y="4305300"/>
              <a:ext cx="3133726"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v-SE" sz="1100" b="0" i="1">
                        <a:latin typeface="Cambria Math"/>
                      </a:rPr>
                      <m:t>𝑃𝑚</m:t>
                    </m:r>
                    <m:r>
                      <a:rPr lang="sv-SE" sz="1100" b="0" i="1">
                        <a:latin typeface="Cambria Math"/>
                      </a:rPr>
                      <m:t>=</m:t>
                    </m:r>
                    <m:rad>
                      <m:radPr>
                        <m:ctrlPr>
                          <a:rPr lang="sv-SE" sz="1100" b="0" i="1">
                            <a:latin typeface="Cambria Math" panose="02040503050406030204" pitchFamily="18" charset="0"/>
                          </a:rPr>
                        </m:ctrlPr>
                      </m:radPr>
                      <m:deg>
                        <m:r>
                          <m:rPr>
                            <m:brk m:alnAt="7"/>
                          </m:rPr>
                          <a:rPr lang="sv-SE" sz="1100" b="0" i="1">
                            <a:latin typeface="Cambria Math"/>
                          </a:rPr>
                          <m:t>3</m:t>
                        </m:r>
                      </m:deg>
                      <m:e>
                        <m:f>
                          <m:fPr>
                            <m:ctrlPr>
                              <a:rPr lang="sv-SE" sz="1100" b="0" i="1">
                                <a:latin typeface="Cambria Math" panose="02040503050406030204" pitchFamily="18" charset="0"/>
                              </a:rPr>
                            </m:ctrlPr>
                          </m:fPr>
                          <m:num>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1</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1</m:t>
                                    </m:r>
                                  </m:sub>
                                </m:sSub>
                              </m:e>
                              <m:sup>
                                <m:r>
                                  <a:rPr lang="sv-SE" sz="1100" b="0" i="1">
                                    <a:latin typeface="Cambria Math"/>
                                  </a:rPr>
                                  <m:t>3</m:t>
                                </m:r>
                              </m:sup>
                            </m:sSup>
                            <m:r>
                              <a:rPr lang="sv-SE" sz="1100" b="0" i="1">
                                <a:latin typeface="Cambria Math"/>
                              </a:rPr>
                              <m:t>+</m:t>
                            </m:r>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2</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2</m:t>
                                    </m:r>
                                  </m:sub>
                                </m:sSub>
                              </m:e>
                              <m:sup>
                                <m:r>
                                  <a:rPr lang="sv-SE" sz="1100" b="0" i="1">
                                    <a:latin typeface="Cambria Math"/>
                                  </a:rPr>
                                  <m:t>3</m:t>
                                </m:r>
                              </m:sup>
                            </m:sSup>
                            <m:r>
                              <a:rPr lang="sv-SE" sz="1100" b="0" i="1">
                                <a:latin typeface="Cambria Math"/>
                              </a:rPr>
                              <m:t>+…+</m:t>
                            </m:r>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𝑛</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𝑛</m:t>
                                    </m:r>
                                  </m:sub>
                                </m:sSub>
                              </m:e>
                              <m:sup>
                                <m:r>
                                  <a:rPr lang="sv-SE" sz="1100" b="0" i="1">
                                    <a:latin typeface="Cambria Math"/>
                                  </a:rPr>
                                  <m:t>3</m:t>
                                </m:r>
                              </m:sup>
                            </m:sSup>
                          </m:num>
                          <m:den>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𝑡𝑜𝑡</m:t>
                                </m:r>
                              </m:sub>
                            </m:sSub>
                          </m:den>
                        </m:f>
                      </m:e>
                    </m:rad>
                  </m:oMath>
                </m:oMathPara>
              </a14:m>
              <a:endParaRPr lang="sv-SE" sz="1100"/>
            </a:p>
          </xdr:txBody>
        </xdr:sp>
      </mc:Choice>
      <mc:Fallback xmlns="">
        <xdr:sp macro="" textlink="">
          <xdr:nvSpPr>
            <xdr:cNvPr id="7" name="textruta 6"/>
            <xdr:cNvSpPr txBox="1"/>
          </xdr:nvSpPr>
          <xdr:spPr>
            <a:xfrm>
              <a:off x="361950" y="4305300"/>
              <a:ext cx="3133726"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0" i="0">
                  <a:latin typeface="Cambria Math"/>
                </a:rPr>
                <a:t>𝑃𝑚=√(3&amp;(〖𝐿_1∗𝑃_1〗^3+〖𝐿_2∗𝑃_2〗^3+…+〖𝐿_𝑛∗𝑃_𝑛〗^3)/𝐿_𝑡𝑜𝑡 )</a:t>
              </a:r>
              <a:endParaRPr lang="sv-SE" sz="1100"/>
            </a:p>
          </xdr:txBody>
        </xdr:sp>
      </mc:Fallback>
    </mc:AlternateContent>
    <xdr:clientData/>
  </xdr:oneCellAnchor>
  <xdr:oneCellAnchor>
    <xdr:from>
      <xdr:col>0</xdr:col>
      <xdr:colOff>571500</xdr:colOff>
      <xdr:row>25</xdr:row>
      <xdr:rowOff>147637</xdr:rowOff>
    </xdr:from>
    <xdr:ext cx="914400" cy="264560"/>
    <mc:AlternateContent xmlns:mc="http://schemas.openxmlformats.org/markup-compatibility/2006" xmlns:a14="http://schemas.microsoft.com/office/drawing/2010/main">
      <mc:Choice Requires="a14">
        <xdr:sp macro="" textlink="">
          <xdr:nvSpPr>
            <xdr:cNvPr id="9" name="textruta 8">
              <a:extLst>
                <a:ext uri="{FF2B5EF4-FFF2-40B4-BE49-F238E27FC236}">
                  <a16:creationId xmlns:a16="http://schemas.microsoft.com/office/drawing/2014/main" id="{00000000-0008-0000-0100-000009000000}"/>
                </a:ext>
              </a:extLst>
            </xdr:cNvPr>
            <xdr:cNvSpPr txBox="1"/>
          </xdr:nvSpPr>
          <xdr:spPr>
            <a:xfrm>
              <a:off x="571500" y="50625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1</m:t>
                        </m:r>
                      </m:sub>
                    </m:sSub>
                  </m:oMath>
                </m:oMathPara>
              </a14:m>
              <a:endParaRPr lang="sv-SE" sz="1100"/>
            </a:p>
          </xdr:txBody>
        </xdr:sp>
      </mc:Choice>
      <mc:Fallback xmlns="">
        <xdr:sp macro="" textlink="">
          <xdr:nvSpPr>
            <xdr:cNvPr id="9" name="textruta 8"/>
            <xdr:cNvSpPr txBox="1"/>
          </xdr:nvSpPr>
          <xdr:spPr>
            <a:xfrm>
              <a:off x="571500" y="50625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𝑃_1</a:t>
              </a:r>
              <a:endParaRPr lang="sv-SE" sz="1100"/>
            </a:p>
          </xdr:txBody>
        </xdr:sp>
      </mc:Fallback>
    </mc:AlternateContent>
    <xdr:clientData/>
  </xdr:oneCellAnchor>
  <xdr:oneCellAnchor>
    <xdr:from>
      <xdr:col>0</xdr:col>
      <xdr:colOff>571500</xdr:colOff>
      <xdr:row>26</xdr:row>
      <xdr:rowOff>157162</xdr:rowOff>
    </xdr:from>
    <xdr:ext cx="914400" cy="264560"/>
    <mc:AlternateContent xmlns:mc="http://schemas.openxmlformats.org/markup-compatibility/2006" xmlns:a14="http://schemas.microsoft.com/office/drawing/2010/main">
      <mc:Choice Requires="a14">
        <xdr:sp macro="" textlink="">
          <xdr:nvSpPr>
            <xdr:cNvPr id="10" name="textruta 9">
              <a:extLst>
                <a:ext uri="{FF2B5EF4-FFF2-40B4-BE49-F238E27FC236}">
                  <a16:creationId xmlns:a16="http://schemas.microsoft.com/office/drawing/2014/main" id="{00000000-0008-0000-0100-00000A000000}"/>
                </a:ext>
              </a:extLst>
            </xdr:cNvPr>
            <xdr:cNvSpPr txBox="1"/>
          </xdr:nvSpPr>
          <xdr:spPr>
            <a:xfrm>
              <a:off x="571500" y="5262562"/>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2</m:t>
                        </m:r>
                      </m:sub>
                    </m:sSub>
                  </m:oMath>
                </m:oMathPara>
              </a14:m>
              <a:endParaRPr lang="sv-SE" sz="1100"/>
            </a:p>
          </xdr:txBody>
        </xdr:sp>
      </mc:Choice>
      <mc:Fallback xmlns="">
        <xdr:sp macro="" textlink="">
          <xdr:nvSpPr>
            <xdr:cNvPr id="10" name="textruta 9"/>
            <xdr:cNvSpPr txBox="1"/>
          </xdr:nvSpPr>
          <xdr:spPr>
            <a:xfrm>
              <a:off x="571500" y="5262562"/>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𝑃_2</a:t>
              </a:r>
              <a:endParaRPr lang="sv-SE" sz="1100"/>
            </a:p>
          </xdr:txBody>
        </xdr:sp>
      </mc:Fallback>
    </mc:AlternateContent>
    <xdr:clientData/>
  </xdr:oneCellAnchor>
  <xdr:oneCellAnchor>
    <xdr:from>
      <xdr:col>0</xdr:col>
      <xdr:colOff>552450</xdr:colOff>
      <xdr:row>27</xdr:row>
      <xdr:rowOff>152400</xdr:rowOff>
    </xdr:from>
    <xdr:ext cx="914400" cy="264560"/>
    <mc:AlternateContent xmlns:mc="http://schemas.openxmlformats.org/markup-compatibility/2006" xmlns:a14="http://schemas.microsoft.com/office/drawing/2010/main">
      <mc:Choice Requires="a14">
        <xdr:sp macro="" textlink="">
          <xdr:nvSpPr>
            <xdr:cNvPr id="11" name="textruta 10">
              <a:extLst>
                <a:ext uri="{FF2B5EF4-FFF2-40B4-BE49-F238E27FC236}">
                  <a16:creationId xmlns:a16="http://schemas.microsoft.com/office/drawing/2014/main" id="{00000000-0008-0000-0100-00000B000000}"/>
                </a:ext>
              </a:extLst>
            </xdr:cNvPr>
            <xdr:cNvSpPr txBox="1"/>
          </xdr:nvSpPr>
          <xdr:spPr>
            <a:xfrm>
              <a:off x="552450" y="54483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3</m:t>
                        </m:r>
                      </m:sub>
                    </m:sSub>
                  </m:oMath>
                </m:oMathPara>
              </a14:m>
              <a:endParaRPr lang="sv-SE" sz="1100"/>
            </a:p>
          </xdr:txBody>
        </xdr:sp>
      </mc:Choice>
      <mc:Fallback xmlns="">
        <xdr:sp macro="" textlink="">
          <xdr:nvSpPr>
            <xdr:cNvPr id="11" name="textruta 10"/>
            <xdr:cNvSpPr txBox="1"/>
          </xdr:nvSpPr>
          <xdr:spPr>
            <a:xfrm>
              <a:off x="552450" y="54483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𝑃_3</a:t>
              </a:r>
              <a:endParaRPr lang="sv-SE" sz="1100"/>
            </a:p>
          </xdr:txBody>
        </xdr:sp>
      </mc:Fallback>
    </mc:AlternateContent>
    <xdr:clientData/>
  </xdr:oneCellAnchor>
  <xdr:oneCellAnchor>
    <xdr:from>
      <xdr:col>0</xdr:col>
      <xdr:colOff>533400</xdr:colOff>
      <xdr:row>28</xdr:row>
      <xdr:rowOff>152400</xdr:rowOff>
    </xdr:from>
    <xdr:ext cx="914400" cy="264560"/>
    <mc:AlternateContent xmlns:mc="http://schemas.openxmlformats.org/markup-compatibility/2006" xmlns:a14="http://schemas.microsoft.com/office/drawing/2010/main">
      <mc:Choice Requires="a14">
        <xdr:sp macro="" textlink="">
          <xdr:nvSpPr>
            <xdr:cNvPr id="12" name="textruta 11">
              <a:extLst>
                <a:ext uri="{FF2B5EF4-FFF2-40B4-BE49-F238E27FC236}">
                  <a16:creationId xmlns:a16="http://schemas.microsoft.com/office/drawing/2014/main" id="{00000000-0008-0000-0100-00000C000000}"/>
                </a:ext>
              </a:extLst>
            </xdr:cNvPr>
            <xdr:cNvSpPr txBox="1"/>
          </xdr:nvSpPr>
          <xdr:spPr>
            <a:xfrm>
              <a:off x="533400"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4</m:t>
                        </m:r>
                      </m:sub>
                    </m:sSub>
                  </m:oMath>
                </m:oMathPara>
              </a14:m>
              <a:endParaRPr lang="sv-SE" sz="1100"/>
            </a:p>
          </xdr:txBody>
        </xdr:sp>
      </mc:Choice>
      <mc:Fallback xmlns="">
        <xdr:sp macro="" textlink="">
          <xdr:nvSpPr>
            <xdr:cNvPr id="12" name="textruta 11"/>
            <xdr:cNvSpPr txBox="1"/>
          </xdr:nvSpPr>
          <xdr:spPr>
            <a:xfrm>
              <a:off x="533400"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𝑃_4</a:t>
              </a:r>
              <a:endParaRPr lang="sv-SE" sz="1100"/>
            </a:p>
          </xdr:txBody>
        </xdr:sp>
      </mc:Fallback>
    </mc:AlternateContent>
    <xdr:clientData/>
  </xdr:oneCellAnchor>
  <xdr:oneCellAnchor>
    <xdr:from>
      <xdr:col>0</xdr:col>
      <xdr:colOff>533400</xdr:colOff>
      <xdr:row>29</xdr:row>
      <xdr:rowOff>133350</xdr:rowOff>
    </xdr:from>
    <xdr:ext cx="914400" cy="264560"/>
    <mc:AlternateContent xmlns:mc="http://schemas.openxmlformats.org/markup-compatibility/2006" xmlns:a14="http://schemas.microsoft.com/office/drawing/2010/main">
      <mc:Choice Requires="a14">
        <xdr:sp macro="" textlink="">
          <xdr:nvSpPr>
            <xdr:cNvPr id="13" name="textruta 12">
              <a:extLst>
                <a:ext uri="{FF2B5EF4-FFF2-40B4-BE49-F238E27FC236}">
                  <a16:creationId xmlns:a16="http://schemas.microsoft.com/office/drawing/2014/main" id="{00000000-0008-0000-0100-00000D000000}"/>
                </a:ext>
              </a:extLst>
            </xdr:cNvPr>
            <xdr:cNvSpPr txBox="1"/>
          </xdr:nvSpPr>
          <xdr:spPr>
            <a:xfrm>
              <a:off x="533400" y="5810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5</m:t>
                        </m:r>
                      </m:sub>
                    </m:sSub>
                  </m:oMath>
                </m:oMathPara>
              </a14:m>
              <a:endParaRPr lang="sv-SE" sz="1100"/>
            </a:p>
          </xdr:txBody>
        </xdr:sp>
      </mc:Choice>
      <mc:Fallback xmlns="">
        <xdr:sp macro="" textlink="">
          <xdr:nvSpPr>
            <xdr:cNvPr id="13" name="textruta 12"/>
            <xdr:cNvSpPr txBox="1"/>
          </xdr:nvSpPr>
          <xdr:spPr>
            <a:xfrm>
              <a:off x="533400" y="5810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𝑃_5</a:t>
              </a:r>
              <a:endParaRPr lang="sv-SE" sz="1100"/>
            </a:p>
          </xdr:txBody>
        </xdr:sp>
      </mc:Fallback>
    </mc:AlternateContent>
    <xdr:clientData/>
  </xdr:oneCellAnchor>
  <xdr:oneCellAnchor>
    <xdr:from>
      <xdr:col>0</xdr:col>
      <xdr:colOff>523875</xdr:colOff>
      <xdr:row>30</xdr:row>
      <xdr:rowOff>142875</xdr:rowOff>
    </xdr:from>
    <xdr:ext cx="914400" cy="264560"/>
    <mc:AlternateContent xmlns:mc="http://schemas.openxmlformats.org/markup-compatibility/2006" xmlns:a14="http://schemas.microsoft.com/office/drawing/2010/main">
      <mc:Choice Requires="a14">
        <xdr:sp macro="" textlink="">
          <xdr:nvSpPr>
            <xdr:cNvPr id="14" name="textruta 13">
              <a:extLst>
                <a:ext uri="{FF2B5EF4-FFF2-40B4-BE49-F238E27FC236}">
                  <a16:creationId xmlns:a16="http://schemas.microsoft.com/office/drawing/2014/main" id="{00000000-0008-0000-0100-00000E000000}"/>
                </a:ext>
              </a:extLst>
            </xdr:cNvPr>
            <xdr:cNvSpPr txBox="1"/>
          </xdr:nvSpPr>
          <xdr:spPr>
            <a:xfrm>
              <a:off x="523875" y="60102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6</m:t>
                        </m:r>
                      </m:sub>
                    </m:sSub>
                  </m:oMath>
                </m:oMathPara>
              </a14:m>
              <a:endParaRPr lang="sv-SE" sz="1100"/>
            </a:p>
          </xdr:txBody>
        </xdr:sp>
      </mc:Choice>
      <mc:Fallback xmlns="">
        <xdr:sp macro="" textlink="">
          <xdr:nvSpPr>
            <xdr:cNvPr id="14" name="textruta 13"/>
            <xdr:cNvSpPr txBox="1"/>
          </xdr:nvSpPr>
          <xdr:spPr>
            <a:xfrm>
              <a:off x="523875" y="60102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𝑃_6</a:t>
              </a:r>
              <a:endParaRPr lang="sv-SE" sz="1100"/>
            </a:p>
          </xdr:txBody>
        </xdr:sp>
      </mc:Fallback>
    </mc:AlternateContent>
    <xdr:clientData/>
  </xdr:oneCellAnchor>
  <xdr:oneCellAnchor>
    <xdr:from>
      <xdr:col>3</xdr:col>
      <xdr:colOff>466725</xdr:colOff>
      <xdr:row>25</xdr:row>
      <xdr:rowOff>142875</xdr:rowOff>
    </xdr:from>
    <xdr:ext cx="914400" cy="264560"/>
    <mc:AlternateContent xmlns:mc="http://schemas.openxmlformats.org/markup-compatibility/2006" xmlns:a14="http://schemas.microsoft.com/office/drawing/2010/main">
      <mc:Choice Requires="a14">
        <xdr:sp macro="" textlink="">
          <xdr:nvSpPr>
            <xdr:cNvPr id="15" name="textruta 14">
              <a:extLst>
                <a:ext uri="{FF2B5EF4-FFF2-40B4-BE49-F238E27FC236}">
                  <a16:creationId xmlns:a16="http://schemas.microsoft.com/office/drawing/2014/main" id="{00000000-0008-0000-0100-00000F000000}"/>
                </a:ext>
              </a:extLst>
            </xdr:cNvPr>
            <xdr:cNvSpPr txBox="1"/>
          </xdr:nvSpPr>
          <xdr:spPr>
            <a:xfrm>
              <a:off x="2295525" y="5057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1</m:t>
                        </m:r>
                      </m:sub>
                    </m:sSub>
                  </m:oMath>
                </m:oMathPara>
              </a14:m>
              <a:endParaRPr lang="sv-SE" sz="1100"/>
            </a:p>
          </xdr:txBody>
        </xdr:sp>
      </mc:Choice>
      <mc:Fallback xmlns="">
        <xdr:sp macro="" textlink="">
          <xdr:nvSpPr>
            <xdr:cNvPr id="15" name="textruta 14"/>
            <xdr:cNvSpPr txBox="1"/>
          </xdr:nvSpPr>
          <xdr:spPr>
            <a:xfrm>
              <a:off x="2295525" y="5057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𝐿_1</a:t>
              </a:r>
              <a:endParaRPr lang="sv-SE" sz="1100"/>
            </a:p>
          </xdr:txBody>
        </xdr:sp>
      </mc:Fallback>
    </mc:AlternateContent>
    <xdr:clientData/>
  </xdr:oneCellAnchor>
  <xdr:oneCellAnchor>
    <xdr:from>
      <xdr:col>3</xdr:col>
      <xdr:colOff>457200</xdr:colOff>
      <xdr:row>26</xdr:row>
      <xdr:rowOff>152400</xdr:rowOff>
    </xdr:from>
    <xdr:ext cx="914400" cy="264560"/>
    <mc:AlternateContent xmlns:mc="http://schemas.openxmlformats.org/markup-compatibility/2006" xmlns:a14="http://schemas.microsoft.com/office/drawing/2010/main">
      <mc:Choice Requires="a14">
        <xdr:sp macro="" textlink="">
          <xdr:nvSpPr>
            <xdr:cNvPr id="16" name="textruta 15">
              <a:extLst>
                <a:ext uri="{FF2B5EF4-FFF2-40B4-BE49-F238E27FC236}">
                  <a16:creationId xmlns:a16="http://schemas.microsoft.com/office/drawing/2014/main" id="{00000000-0008-0000-0100-000010000000}"/>
                </a:ext>
              </a:extLst>
            </xdr:cNvPr>
            <xdr:cNvSpPr txBox="1"/>
          </xdr:nvSpPr>
          <xdr:spPr>
            <a:xfrm>
              <a:off x="2286000" y="5257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2</m:t>
                        </m:r>
                      </m:sub>
                    </m:sSub>
                  </m:oMath>
                </m:oMathPara>
              </a14:m>
              <a:endParaRPr lang="sv-SE" sz="1100"/>
            </a:p>
          </xdr:txBody>
        </xdr:sp>
      </mc:Choice>
      <mc:Fallback xmlns="">
        <xdr:sp macro="" textlink="">
          <xdr:nvSpPr>
            <xdr:cNvPr id="16" name="textruta 15"/>
            <xdr:cNvSpPr txBox="1"/>
          </xdr:nvSpPr>
          <xdr:spPr>
            <a:xfrm>
              <a:off x="2286000" y="5257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𝐿_2</a:t>
              </a:r>
              <a:endParaRPr lang="sv-SE" sz="1100"/>
            </a:p>
          </xdr:txBody>
        </xdr:sp>
      </mc:Fallback>
    </mc:AlternateContent>
    <xdr:clientData/>
  </xdr:oneCellAnchor>
  <xdr:oneCellAnchor>
    <xdr:from>
      <xdr:col>3</xdr:col>
      <xdr:colOff>447675</xdr:colOff>
      <xdr:row>27</xdr:row>
      <xdr:rowOff>142875</xdr:rowOff>
    </xdr:from>
    <xdr:ext cx="914400" cy="264560"/>
    <mc:AlternateContent xmlns:mc="http://schemas.openxmlformats.org/markup-compatibility/2006" xmlns:a14="http://schemas.microsoft.com/office/drawing/2010/main">
      <mc:Choice Requires="a14">
        <xdr:sp macro="" textlink="">
          <xdr:nvSpPr>
            <xdr:cNvPr id="17" name="textruta 16">
              <a:extLst>
                <a:ext uri="{FF2B5EF4-FFF2-40B4-BE49-F238E27FC236}">
                  <a16:creationId xmlns:a16="http://schemas.microsoft.com/office/drawing/2014/main" id="{00000000-0008-0000-0100-000011000000}"/>
                </a:ext>
              </a:extLst>
            </xdr:cNvPr>
            <xdr:cNvSpPr txBox="1"/>
          </xdr:nvSpPr>
          <xdr:spPr>
            <a:xfrm>
              <a:off x="2276475" y="5438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3</m:t>
                        </m:r>
                      </m:sub>
                    </m:sSub>
                  </m:oMath>
                </m:oMathPara>
              </a14:m>
              <a:endParaRPr lang="sv-SE" sz="1100"/>
            </a:p>
          </xdr:txBody>
        </xdr:sp>
      </mc:Choice>
      <mc:Fallback xmlns="">
        <xdr:sp macro="" textlink="">
          <xdr:nvSpPr>
            <xdr:cNvPr id="17" name="textruta 16"/>
            <xdr:cNvSpPr txBox="1"/>
          </xdr:nvSpPr>
          <xdr:spPr>
            <a:xfrm>
              <a:off x="2276475" y="5438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𝐿_3</a:t>
              </a:r>
              <a:endParaRPr lang="sv-SE" sz="1100"/>
            </a:p>
          </xdr:txBody>
        </xdr:sp>
      </mc:Fallback>
    </mc:AlternateContent>
    <xdr:clientData/>
  </xdr:oneCellAnchor>
  <xdr:oneCellAnchor>
    <xdr:from>
      <xdr:col>3</xdr:col>
      <xdr:colOff>447675</xdr:colOff>
      <xdr:row>28</xdr:row>
      <xdr:rowOff>152400</xdr:rowOff>
    </xdr:from>
    <xdr:ext cx="914400" cy="264560"/>
    <mc:AlternateContent xmlns:mc="http://schemas.openxmlformats.org/markup-compatibility/2006" xmlns:a14="http://schemas.microsoft.com/office/drawing/2010/main">
      <mc:Choice Requires="a14">
        <xdr:sp macro="" textlink="">
          <xdr:nvSpPr>
            <xdr:cNvPr id="18" name="textruta 17">
              <a:extLst>
                <a:ext uri="{FF2B5EF4-FFF2-40B4-BE49-F238E27FC236}">
                  <a16:creationId xmlns:a16="http://schemas.microsoft.com/office/drawing/2014/main" id="{00000000-0008-0000-0100-000012000000}"/>
                </a:ext>
              </a:extLst>
            </xdr:cNvPr>
            <xdr:cNvSpPr txBox="1"/>
          </xdr:nvSpPr>
          <xdr:spPr>
            <a:xfrm>
              <a:off x="2276475"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4</m:t>
                        </m:r>
                      </m:sub>
                    </m:sSub>
                  </m:oMath>
                </m:oMathPara>
              </a14:m>
              <a:endParaRPr lang="sv-SE" sz="1100"/>
            </a:p>
          </xdr:txBody>
        </xdr:sp>
      </mc:Choice>
      <mc:Fallback xmlns="">
        <xdr:sp macro="" textlink="">
          <xdr:nvSpPr>
            <xdr:cNvPr id="18" name="textruta 17"/>
            <xdr:cNvSpPr txBox="1"/>
          </xdr:nvSpPr>
          <xdr:spPr>
            <a:xfrm>
              <a:off x="2276475"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𝐿_4</a:t>
              </a:r>
              <a:endParaRPr lang="sv-SE" sz="1100"/>
            </a:p>
          </xdr:txBody>
        </xdr:sp>
      </mc:Fallback>
    </mc:AlternateContent>
    <xdr:clientData/>
  </xdr:oneCellAnchor>
  <xdr:oneCellAnchor>
    <xdr:from>
      <xdr:col>3</xdr:col>
      <xdr:colOff>457200</xdr:colOff>
      <xdr:row>29</xdr:row>
      <xdr:rowOff>142875</xdr:rowOff>
    </xdr:from>
    <xdr:ext cx="914400" cy="264560"/>
    <mc:AlternateContent xmlns:mc="http://schemas.openxmlformats.org/markup-compatibility/2006" xmlns:a14="http://schemas.microsoft.com/office/drawing/2010/main">
      <mc:Choice Requires="a14">
        <xdr:sp macro="" textlink="">
          <xdr:nvSpPr>
            <xdr:cNvPr id="19" name="textruta 18">
              <a:extLst>
                <a:ext uri="{FF2B5EF4-FFF2-40B4-BE49-F238E27FC236}">
                  <a16:creationId xmlns:a16="http://schemas.microsoft.com/office/drawing/2014/main" id="{00000000-0008-0000-0100-000013000000}"/>
                </a:ext>
              </a:extLst>
            </xdr:cNvPr>
            <xdr:cNvSpPr txBox="1"/>
          </xdr:nvSpPr>
          <xdr:spPr>
            <a:xfrm>
              <a:off x="2286000" y="5819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5</m:t>
                        </m:r>
                      </m:sub>
                    </m:sSub>
                  </m:oMath>
                </m:oMathPara>
              </a14:m>
              <a:endParaRPr lang="sv-SE" sz="1100"/>
            </a:p>
          </xdr:txBody>
        </xdr:sp>
      </mc:Choice>
      <mc:Fallback xmlns="">
        <xdr:sp macro="" textlink="">
          <xdr:nvSpPr>
            <xdr:cNvPr id="19" name="textruta 18"/>
            <xdr:cNvSpPr txBox="1"/>
          </xdr:nvSpPr>
          <xdr:spPr>
            <a:xfrm>
              <a:off x="2286000" y="5819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𝐿_5</a:t>
              </a:r>
              <a:endParaRPr lang="sv-SE" sz="1100"/>
            </a:p>
          </xdr:txBody>
        </xdr:sp>
      </mc:Fallback>
    </mc:AlternateContent>
    <xdr:clientData/>
  </xdr:oneCellAnchor>
  <xdr:oneCellAnchor>
    <xdr:from>
      <xdr:col>3</xdr:col>
      <xdr:colOff>466725</xdr:colOff>
      <xdr:row>30</xdr:row>
      <xdr:rowOff>161925</xdr:rowOff>
    </xdr:from>
    <xdr:ext cx="914400" cy="264560"/>
    <mc:AlternateContent xmlns:mc="http://schemas.openxmlformats.org/markup-compatibility/2006" xmlns:a14="http://schemas.microsoft.com/office/drawing/2010/main">
      <mc:Choice Requires="a14">
        <xdr:sp macro="" textlink="">
          <xdr:nvSpPr>
            <xdr:cNvPr id="20" name="textruta 19">
              <a:extLst>
                <a:ext uri="{FF2B5EF4-FFF2-40B4-BE49-F238E27FC236}">
                  <a16:creationId xmlns:a16="http://schemas.microsoft.com/office/drawing/2014/main" id="{00000000-0008-0000-0100-000014000000}"/>
                </a:ext>
              </a:extLst>
            </xdr:cNvPr>
            <xdr:cNvSpPr txBox="1"/>
          </xdr:nvSpPr>
          <xdr:spPr>
            <a:xfrm>
              <a:off x="2295525" y="60293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6</m:t>
                        </m:r>
                      </m:sub>
                    </m:sSub>
                  </m:oMath>
                </m:oMathPara>
              </a14:m>
              <a:endParaRPr lang="sv-SE" sz="1100"/>
            </a:p>
          </xdr:txBody>
        </xdr:sp>
      </mc:Choice>
      <mc:Fallback xmlns="">
        <xdr:sp macro="" textlink="">
          <xdr:nvSpPr>
            <xdr:cNvPr id="20" name="textruta 19"/>
            <xdr:cNvSpPr txBox="1"/>
          </xdr:nvSpPr>
          <xdr:spPr>
            <a:xfrm>
              <a:off x="2295525" y="60293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0" i="0">
                  <a:latin typeface="Cambria Math"/>
                </a:rPr>
                <a:t>𝐿_6</a:t>
              </a:r>
              <a:endParaRPr lang="sv-SE" sz="1100"/>
            </a:p>
          </xdr:txBody>
        </xdr:sp>
      </mc:Fallback>
    </mc:AlternateContent>
    <xdr:clientData/>
  </xdr:oneCellAnchor>
  <xdr:oneCellAnchor>
    <xdr:from>
      <xdr:col>3</xdr:col>
      <xdr:colOff>447675</xdr:colOff>
      <xdr:row>32</xdr:row>
      <xdr:rowOff>152400</xdr:rowOff>
    </xdr:from>
    <xdr:ext cx="914400" cy="264560"/>
    <mc:AlternateContent xmlns:mc="http://schemas.openxmlformats.org/markup-compatibility/2006" xmlns:a14="http://schemas.microsoft.com/office/drawing/2010/main">
      <mc:Choice Requires="a14">
        <xdr:sp macro="" textlink="">
          <xdr:nvSpPr>
            <xdr:cNvPr id="21" name="textruta 20">
              <a:extLst>
                <a:ext uri="{FF2B5EF4-FFF2-40B4-BE49-F238E27FC236}">
                  <a16:creationId xmlns:a16="http://schemas.microsoft.com/office/drawing/2014/main" id="{00000000-0008-0000-0100-000015000000}"/>
                </a:ext>
              </a:extLst>
            </xdr:cNvPr>
            <xdr:cNvSpPr txBox="1"/>
          </xdr:nvSpPr>
          <xdr:spPr>
            <a:xfrm>
              <a:off x="2276475" y="6400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b="1" i="1">
                            <a:latin typeface="Cambria Math" panose="02040503050406030204" pitchFamily="18" charset="0"/>
                          </a:rPr>
                        </m:ctrlPr>
                      </m:sSubPr>
                      <m:e>
                        <m:r>
                          <a:rPr lang="sv-SE" sz="1100" b="1" i="1">
                            <a:latin typeface="Cambria Math"/>
                          </a:rPr>
                          <m:t>𝑳</m:t>
                        </m:r>
                      </m:e>
                      <m:sub>
                        <m:r>
                          <a:rPr lang="sv-SE" sz="1100" b="1" i="1">
                            <a:latin typeface="Cambria Math"/>
                          </a:rPr>
                          <m:t>𝒕𝒐𝒕</m:t>
                        </m:r>
                      </m:sub>
                    </m:sSub>
                  </m:oMath>
                </m:oMathPara>
              </a14:m>
              <a:endParaRPr lang="sv-SE" sz="1100" b="1"/>
            </a:p>
          </xdr:txBody>
        </xdr:sp>
      </mc:Choice>
      <mc:Fallback xmlns="">
        <xdr:sp macro="" textlink="">
          <xdr:nvSpPr>
            <xdr:cNvPr id="21" name="textruta 20"/>
            <xdr:cNvSpPr txBox="1"/>
          </xdr:nvSpPr>
          <xdr:spPr>
            <a:xfrm>
              <a:off x="2276475" y="6400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sv-SE" sz="1100" b="1" i="0">
                  <a:latin typeface="Cambria Math"/>
                </a:rPr>
                <a:t>𝑳_𝒕𝒐𝒕</a:t>
              </a:r>
              <a:endParaRPr lang="sv-SE" sz="1100" b="1"/>
            </a:p>
          </xdr:txBody>
        </xdr:sp>
      </mc:Fallback>
    </mc:AlternateContent>
    <xdr:clientData/>
  </xdr:oneCellAnchor>
  <xdr:oneCellAnchor>
    <xdr:from>
      <xdr:col>0</xdr:col>
      <xdr:colOff>523876</xdr:colOff>
      <xdr:row>34</xdr:row>
      <xdr:rowOff>80962</xdr:rowOff>
    </xdr:from>
    <xdr:ext cx="1276350" cy="409279"/>
    <mc:AlternateContent xmlns:mc="http://schemas.openxmlformats.org/markup-compatibility/2006" xmlns:a14="http://schemas.microsoft.com/office/drawing/2010/main">
      <mc:Choice Requires="a14">
        <xdr:sp macro="" textlink="">
          <xdr:nvSpPr>
            <xdr:cNvPr id="22" name="textruta 21">
              <a:extLst>
                <a:ext uri="{FF2B5EF4-FFF2-40B4-BE49-F238E27FC236}">
                  <a16:creationId xmlns:a16="http://schemas.microsoft.com/office/drawing/2014/main" id="{00000000-0008-0000-0100-000016000000}"/>
                </a:ext>
              </a:extLst>
            </xdr:cNvPr>
            <xdr:cNvSpPr txBox="1"/>
          </xdr:nvSpPr>
          <xdr:spPr>
            <a:xfrm>
              <a:off x="523876" y="6710362"/>
              <a:ext cx="1276350" cy="409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v-SE" sz="1100" b="0" i="1">
                        <a:latin typeface="Cambria Math"/>
                      </a:rPr>
                      <m:t>𝑓𝑚</m:t>
                    </m:r>
                    <m:r>
                      <a:rPr lang="sv-SE" sz="1100" b="0" i="1">
                        <a:latin typeface="Cambria Math"/>
                      </a:rPr>
                      <m:t>=</m:t>
                    </m:r>
                    <m:f>
                      <m:fPr>
                        <m:ctrlPr>
                          <a:rPr lang="sv-SE" sz="1100" b="0" i="1">
                            <a:latin typeface="Cambria Math" panose="02040503050406030204" pitchFamily="18" charset="0"/>
                          </a:rPr>
                        </m:ctrlPr>
                      </m:fPr>
                      <m:num>
                        <m:r>
                          <a:rPr lang="sv-SE" sz="1100" b="0" i="1">
                            <a:latin typeface="Cambria Math"/>
                          </a:rPr>
                          <m:t>𝑃𝑚</m:t>
                        </m:r>
                      </m:num>
                      <m:den>
                        <m:r>
                          <a:rPr lang="sv-SE" sz="1100" b="0" i="1">
                            <a:latin typeface="Cambria Math"/>
                          </a:rPr>
                          <m:t>𝑀𝑎𝑥</m:t>
                        </m:r>
                        <m:r>
                          <a:rPr lang="sv-SE" sz="1100" b="0" i="1">
                            <a:latin typeface="Cambria Math"/>
                          </a:rPr>
                          <m:t> </m:t>
                        </m:r>
                        <m:r>
                          <a:rPr lang="sv-SE" sz="1100" b="0" i="1">
                            <a:latin typeface="Cambria Math"/>
                          </a:rPr>
                          <m:t>𝐿𝑜𝑎𝑑</m:t>
                        </m:r>
                      </m:den>
                    </m:f>
                  </m:oMath>
                </m:oMathPara>
              </a14:m>
              <a:endParaRPr lang="sv-SE" sz="1100"/>
            </a:p>
          </xdr:txBody>
        </xdr:sp>
      </mc:Choice>
      <mc:Fallback xmlns="">
        <xdr:sp macro="" textlink="">
          <xdr:nvSpPr>
            <xdr:cNvPr id="22" name="textruta 21"/>
            <xdr:cNvSpPr txBox="1"/>
          </xdr:nvSpPr>
          <xdr:spPr>
            <a:xfrm>
              <a:off x="523876" y="6710362"/>
              <a:ext cx="1276350" cy="409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0" i="0">
                  <a:latin typeface="Cambria Math"/>
                </a:rPr>
                <a:t>𝑓𝑚=𝑃𝑚/(𝑀𝑎𝑥 𝐿𝑜𝑎𝑑)</a:t>
              </a:r>
              <a:endParaRPr lang="sv-SE" sz="1100"/>
            </a:p>
          </xdr:txBody>
        </xdr:sp>
      </mc:Fallback>
    </mc:AlternateContent>
    <xdr:clientData/>
  </xdr:oneCellAnchor>
  <xdr:twoCellAnchor>
    <xdr:from>
      <xdr:col>1</xdr:col>
      <xdr:colOff>15719</xdr:colOff>
      <xdr:row>3</xdr:row>
      <xdr:rowOff>23153</xdr:rowOff>
    </xdr:from>
    <xdr:to>
      <xdr:col>7</xdr:col>
      <xdr:colOff>280047</xdr:colOff>
      <xdr:row>17</xdr:row>
      <xdr:rowOff>116610</xdr:rowOff>
    </xdr:to>
    <xdr:grpSp>
      <xdr:nvGrpSpPr>
        <xdr:cNvPr id="27" name="Grupp 26">
          <a:extLst>
            <a:ext uri="{FF2B5EF4-FFF2-40B4-BE49-F238E27FC236}">
              <a16:creationId xmlns:a16="http://schemas.microsoft.com/office/drawing/2014/main" id="{00000000-0008-0000-0100-00001B000000}"/>
            </a:ext>
          </a:extLst>
        </xdr:cNvPr>
        <xdr:cNvGrpSpPr/>
      </xdr:nvGrpSpPr>
      <xdr:grpSpPr>
        <a:xfrm>
          <a:off x="625319" y="670853"/>
          <a:ext cx="3921928" cy="2760457"/>
          <a:chOff x="626282" y="670853"/>
          <a:chExt cx="4318525" cy="2760457"/>
        </a:xfrm>
      </xdr:grpSpPr>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39138" y="670853"/>
            <a:ext cx="2092171" cy="1333207"/>
          </a:xfrm>
          <a:prstGeom prst="rect">
            <a:avLst/>
          </a:prstGeom>
          <a:ln>
            <a:solidFill>
              <a:sysClr val="windowText" lastClr="000000"/>
            </a:solidFill>
          </a:ln>
        </xdr:spPr>
      </xdr:pic>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842719" y="676275"/>
            <a:ext cx="2102088" cy="1332000"/>
          </a:xfrm>
          <a:prstGeom prst="rect">
            <a:avLst/>
          </a:prstGeom>
          <a:ln>
            <a:solidFill>
              <a:sysClr val="windowText" lastClr="000000"/>
            </a:solidFill>
          </a:ln>
        </xdr:spPr>
      </xdr:pic>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26282" y="2086266"/>
            <a:ext cx="2094460" cy="1332000"/>
          </a:xfrm>
          <a:prstGeom prst="rect">
            <a:avLst/>
          </a:prstGeom>
          <a:ln>
            <a:solidFill>
              <a:sysClr val="windowText" lastClr="000000"/>
            </a:solidFill>
          </a:ln>
        </xdr:spPr>
      </xdr:pic>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832423" y="2099310"/>
            <a:ext cx="2108011" cy="1332000"/>
          </a:xfrm>
          <a:prstGeom prst="rect">
            <a:avLst/>
          </a:prstGeom>
          <a:ln>
            <a:solidFill>
              <a:sysClr val="windowText" lastClr="000000"/>
            </a:solidFill>
          </a:ln>
        </xdr:spPr>
      </xdr:pic>
      <xdr:sp macro="" textlink="">
        <xdr:nvSpPr>
          <xdr:cNvPr id="23" name="textruta 22">
            <a:extLst>
              <a:ext uri="{FF2B5EF4-FFF2-40B4-BE49-F238E27FC236}">
                <a16:creationId xmlns:a16="http://schemas.microsoft.com/office/drawing/2014/main" id="{00000000-0008-0000-0100-000017000000}"/>
              </a:ext>
            </a:extLst>
          </xdr:cNvPr>
          <xdr:cNvSpPr txBox="1"/>
        </xdr:nvSpPr>
        <xdr:spPr>
          <a:xfrm>
            <a:off x="1152525" y="1371600"/>
            <a:ext cx="5458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b="1"/>
              <a:t>fm = 1</a:t>
            </a:r>
          </a:p>
        </xdr:txBody>
      </xdr:sp>
      <xdr:sp macro="" textlink="">
        <xdr:nvSpPr>
          <xdr:cNvPr id="24" name="textruta 23">
            <a:extLst>
              <a:ext uri="{FF2B5EF4-FFF2-40B4-BE49-F238E27FC236}">
                <a16:creationId xmlns:a16="http://schemas.microsoft.com/office/drawing/2014/main" id="{00000000-0008-0000-0100-000018000000}"/>
              </a:ext>
            </a:extLst>
          </xdr:cNvPr>
          <xdr:cNvSpPr txBox="1"/>
        </xdr:nvSpPr>
        <xdr:spPr>
          <a:xfrm>
            <a:off x="3362325" y="1343025"/>
            <a:ext cx="6529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b="1"/>
              <a:t>fm = 0.8</a:t>
            </a:r>
          </a:p>
        </xdr:txBody>
      </xdr:sp>
      <xdr:sp macro="" textlink="">
        <xdr:nvSpPr>
          <xdr:cNvPr id="25" name="textruta 24">
            <a:extLst>
              <a:ext uri="{FF2B5EF4-FFF2-40B4-BE49-F238E27FC236}">
                <a16:creationId xmlns:a16="http://schemas.microsoft.com/office/drawing/2014/main" id="{00000000-0008-0000-0100-000019000000}"/>
              </a:ext>
            </a:extLst>
          </xdr:cNvPr>
          <xdr:cNvSpPr txBox="1"/>
        </xdr:nvSpPr>
        <xdr:spPr>
          <a:xfrm>
            <a:off x="990600" y="2705100"/>
            <a:ext cx="6529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b="1"/>
              <a:t>fm = 0.5</a:t>
            </a:r>
          </a:p>
        </xdr:txBody>
      </xdr:sp>
      <xdr:sp macro="" textlink="">
        <xdr:nvSpPr>
          <xdr:cNvPr id="26" name="textruta 25">
            <a:extLst>
              <a:ext uri="{FF2B5EF4-FFF2-40B4-BE49-F238E27FC236}">
                <a16:creationId xmlns:a16="http://schemas.microsoft.com/office/drawing/2014/main" id="{00000000-0008-0000-0100-00001A000000}"/>
              </a:ext>
            </a:extLst>
          </xdr:cNvPr>
          <xdr:cNvSpPr txBox="1"/>
        </xdr:nvSpPr>
        <xdr:spPr>
          <a:xfrm>
            <a:off x="3162300" y="2628900"/>
            <a:ext cx="6529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b="1"/>
              <a:t>fm = 0.7</a:t>
            </a:r>
          </a:p>
        </xdr:txBody>
      </xdr:sp>
    </xdr:grpSp>
    <xdr:clientData/>
  </xdr:twoCellAnchor>
  <xdr:oneCellAnchor>
    <xdr:from>
      <xdr:col>13</xdr:col>
      <xdr:colOff>466725</xdr:colOff>
      <xdr:row>25</xdr:row>
      <xdr:rowOff>142875</xdr:rowOff>
    </xdr:from>
    <xdr:ext cx="914400" cy="264560"/>
    <mc:AlternateContent xmlns:mc="http://schemas.openxmlformats.org/markup-compatibility/2006" xmlns:a14="http://schemas.microsoft.com/office/drawing/2010/main">
      <mc:Choice Requires="a14">
        <xdr:sp macro="" textlink="">
          <xdr:nvSpPr>
            <xdr:cNvPr id="28" name="textruta 27">
              <a:extLst>
                <a:ext uri="{FF2B5EF4-FFF2-40B4-BE49-F238E27FC236}">
                  <a16:creationId xmlns:a16="http://schemas.microsoft.com/office/drawing/2014/main" id="{00000000-0008-0000-0100-00001C000000}"/>
                </a:ext>
              </a:extLst>
            </xdr:cNvPr>
            <xdr:cNvSpPr txBox="1"/>
          </xdr:nvSpPr>
          <xdr:spPr>
            <a:xfrm>
              <a:off x="2295525" y="5057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1</m:t>
                        </m:r>
                      </m:sub>
                    </m:sSub>
                  </m:oMath>
                </m:oMathPara>
              </a14:m>
              <a:endParaRPr lang="sv-SE" sz="1100"/>
            </a:p>
          </xdr:txBody>
        </xdr:sp>
      </mc:Choice>
      <mc:Fallback xmlns="">
        <xdr:sp macro="" textlink="">
          <xdr:nvSpPr>
            <xdr:cNvPr id="28" name="textruta 27"/>
            <xdr:cNvSpPr txBox="1"/>
          </xdr:nvSpPr>
          <xdr:spPr>
            <a:xfrm>
              <a:off x="2295525" y="5057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𝐿_1</a:t>
              </a:r>
              <a:endParaRPr lang="sv-SE" sz="1100"/>
            </a:p>
          </xdr:txBody>
        </xdr:sp>
      </mc:Fallback>
    </mc:AlternateContent>
    <xdr:clientData/>
  </xdr:oneCellAnchor>
  <xdr:oneCellAnchor>
    <xdr:from>
      <xdr:col>13</xdr:col>
      <xdr:colOff>457200</xdr:colOff>
      <xdr:row>26</xdr:row>
      <xdr:rowOff>152400</xdr:rowOff>
    </xdr:from>
    <xdr:ext cx="914400" cy="264560"/>
    <mc:AlternateContent xmlns:mc="http://schemas.openxmlformats.org/markup-compatibility/2006" xmlns:a14="http://schemas.microsoft.com/office/drawing/2010/main">
      <mc:Choice Requires="a14">
        <xdr:sp macro="" textlink="">
          <xdr:nvSpPr>
            <xdr:cNvPr id="29" name="textruta 28">
              <a:extLst>
                <a:ext uri="{FF2B5EF4-FFF2-40B4-BE49-F238E27FC236}">
                  <a16:creationId xmlns:a16="http://schemas.microsoft.com/office/drawing/2014/main" id="{00000000-0008-0000-0100-00001D000000}"/>
                </a:ext>
              </a:extLst>
            </xdr:cNvPr>
            <xdr:cNvSpPr txBox="1"/>
          </xdr:nvSpPr>
          <xdr:spPr>
            <a:xfrm>
              <a:off x="2286000" y="5257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2</m:t>
                        </m:r>
                      </m:sub>
                    </m:sSub>
                  </m:oMath>
                </m:oMathPara>
              </a14:m>
              <a:endParaRPr lang="sv-SE" sz="1100"/>
            </a:p>
          </xdr:txBody>
        </xdr:sp>
      </mc:Choice>
      <mc:Fallback xmlns="">
        <xdr:sp macro="" textlink="">
          <xdr:nvSpPr>
            <xdr:cNvPr id="29" name="textruta 28"/>
            <xdr:cNvSpPr txBox="1"/>
          </xdr:nvSpPr>
          <xdr:spPr>
            <a:xfrm>
              <a:off x="2286000" y="5257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𝐿_2</a:t>
              </a:r>
              <a:endParaRPr lang="sv-SE" sz="1100"/>
            </a:p>
          </xdr:txBody>
        </xdr:sp>
      </mc:Fallback>
    </mc:AlternateContent>
    <xdr:clientData/>
  </xdr:oneCellAnchor>
  <xdr:oneCellAnchor>
    <xdr:from>
      <xdr:col>13</xdr:col>
      <xdr:colOff>447675</xdr:colOff>
      <xdr:row>27</xdr:row>
      <xdr:rowOff>142875</xdr:rowOff>
    </xdr:from>
    <xdr:ext cx="914400" cy="264560"/>
    <mc:AlternateContent xmlns:mc="http://schemas.openxmlformats.org/markup-compatibility/2006" xmlns:a14="http://schemas.microsoft.com/office/drawing/2010/main">
      <mc:Choice Requires="a14">
        <xdr:sp macro="" textlink="">
          <xdr:nvSpPr>
            <xdr:cNvPr id="30" name="textruta 29">
              <a:extLst>
                <a:ext uri="{FF2B5EF4-FFF2-40B4-BE49-F238E27FC236}">
                  <a16:creationId xmlns:a16="http://schemas.microsoft.com/office/drawing/2014/main" id="{00000000-0008-0000-0100-00001E000000}"/>
                </a:ext>
              </a:extLst>
            </xdr:cNvPr>
            <xdr:cNvSpPr txBox="1"/>
          </xdr:nvSpPr>
          <xdr:spPr>
            <a:xfrm>
              <a:off x="2276475" y="5438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3</m:t>
                        </m:r>
                      </m:sub>
                    </m:sSub>
                  </m:oMath>
                </m:oMathPara>
              </a14:m>
              <a:endParaRPr lang="sv-SE" sz="1100"/>
            </a:p>
          </xdr:txBody>
        </xdr:sp>
      </mc:Choice>
      <mc:Fallback xmlns="">
        <xdr:sp macro="" textlink="">
          <xdr:nvSpPr>
            <xdr:cNvPr id="30" name="textruta 29"/>
            <xdr:cNvSpPr txBox="1"/>
          </xdr:nvSpPr>
          <xdr:spPr>
            <a:xfrm>
              <a:off x="2276475" y="5438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𝐿_3</a:t>
              </a:r>
              <a:endParaRPr lang="sv-SE" sz="1100"/>
            </a:p>
          </xdr:txBody>
        </xdr:sp>
      </mc:Fallback>
    </mc:AlternateContent>
    <xdr:clientData/>
  </xdr:oneCellAnchor>
  <xdr:oneCellAnchor>
    <xdr:from>
      <xdr:col>13</xdr:col>
      <xdr:colOff>447675</xdr:colOff>
      <xdr:row>28</xdr:row>
      <xdr:rowOff>152400</xdr:rowOff>
    </xdr:from>
    <xdr:ext cx="914400" cy="264560"/>
    <mc:AlternateContent xmlns:mc="http://schemas.openxmlformats.org/markup-compatibility/2006" xmlns:a14="http://schemas.microsoft.com/office/drawing/2010/main">
      <mc:Choice Requires="a14">
        <xdr:sp macro="" textlink="">
          <xdr:nvSpPr>
            <xdr:cNvPr id="31" name="textruta 30">
              <a:extLst>
                <a:ext uri="{FF2B5EF4-FFF2-40B4-BE49-F238E27FC236}">
                  <a16:creationId xmlns:a16="http://schemas.microsoft.com/office/drawing/2014/main" id="{00000000-0008-0000-0100-00001F000000}"/>
                </a:ext>
              </a:extLst>
            </xdr:cNvPr>
            <xdr:cNvSpPr txBox="1"/>
          </xdr:nvSpPr>
          <xdr:spPr>
            <a:xfrm>
              <a:off x="2276475"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4</m:t>
                        </m:r>
                      </m:sub>
                    </m:sSub>
                  </m:oMath>
                </m:oMathPara>
              </a14:m>
              <a:endParaRPr lang="sv-SE" sz="1100"/>
            </a:p>
          </xdr:txBody>
        </xdr:sp>
      </mc:Choice>
      <mc:Fallback xmlns="">
        <xdr:sp macro="" textlink="">
          <xdr:nvSpPr>
            <xdr:cNvPr id="31" name="textruta 30"/>
            <xdr:cNvSpPr txBox="1"/>
          </xdr:nvSpPr>
          <xdr:spPr>
            <a:xfrm>
              <a:off x="2276475"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𝐿_4</a:t>
              </a:r>
              <a:endParaRPr lang="sv-SE" sz="1100"/>
            </a:p>
          </xdr:txBody>
        </xdr:sp>
      </mc:Fallback>
    </mc:AlternateContent>
    <xdr:clientData/>
  </xdr:oneCellAnchor>
  <xdr:oneCellAnchor>
    <xdr:from>
      <xdr:col>13</xdr:col>
      <xdr:colOff>457200</xdr:colOff>
      <xdr:row>29</xdr:row>
      <xdr:rowOff>142875</xdr:rowOff>
    </xdr:from>
    <xdr:ext cx="914400" cy="264560"/>
    <mc:AlternateContent xmlns:mc="http://schemas.openxmlformats.org/markup-compatibility/2006" xmlns:a14="http://schemas.microsoft.com/office/drawing/2010/main">
      <mc:Choice Requires="a14">
        <xdr:sp macro="" textlink="">
          <xdr:nvSpPr>
            <xdr:cNvPr id="32" name="textruta 31">
              <a:extLst>
                <a:ext uri="{FF2B5EF4-FFF2-40B4-BE49-F238E27FC236}">
                  <a16:creationId xmlns:a16="http://schemas.microsoft.com/office/drawing/2014/main" id="{00000000-0008-0000-0100-000020000000}"/>
                </a:ext>
              </a:extLst>
            </xdr:cNvPr>
            <xdr:cNvSpPr txBox="1"/>
          </xdr:nvSpPr>
          <xdr:spPr>
            <a:xfrm>
              <a:off x="2286000" y="5819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5</m:t>
                        </m:r>
                      </m:sub>
                    </m:sSub>
                  </m:oMath>
                </m:oMathPara>
              </a14:m>
              <a:endParaRPr lang="sv-SE" sz="1100"/>
            </a:p>
          </xdr:txBody>
        </xdr:sp>
      </mc:Choice>
      <mc:Fallback xmlns="">
        <xdr:sp macro="" textlink="">
          <xdr:nvSpPr>
            <xdr:cNvPr id="32" name="textruta 31"/>
            <xdr:cNvSpPr txBox="1"/>
          </xdr:nvSpPr>
          <xdr:spPr>
            <a:xfrm>
              <a:off x="2286000" y="58197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𝐿_5</a:t>
              </a:r>
              <a:endParaRPr lang="sv-SE" sz="1100"/>
            </a:p>
          </xdr:txBody>
        </xdr:sp>
      </mc:Fallback>
    </mc:AlternateContent>
    <xdr:clientData/>
  </xdr:oneCellAnchor>
  <xdr:oneCellAnchor>
    <xdr:from>
      <xdr:col>13</xdr:col>
      <xdr:colOff>466725</xdr:colOff>
      <xdr:row>30</xdr:row>
      <xdr:rowOff>161925</xdr:rowOff>
    </xdr:from>
    <xdr:ext cx="914400" cy="264560"/>
    <mc:AlternateContent xmlns:mc="http://schemas.openxmlformats.org/markup-compatibility/2006" xmlns:a14="http://schemas.microsoft.com/office/drawing/2010/main">
      <mc:Choice Requires="a14">
        <xdr:sp macro="" textlink="">
          <xdr:nvSpPr>
            <xdr:cNvPr id="33" name="textruta 32">
              <a:extLst>
                <a:ext uri="{FF2B5EF4-FFF2-40B4-BE49-F238E27FC236}">
                  <a16:creationId xmlns:a16="http://schemas.microsoft.com/office/drawing/2014/main" id="{00000000-0008-0000-0100-000021000000}"/>
                </a:ext>
              </a:extLst>
            </xdr:cNvPr>
            <xdr:cNvSpPr txBox="1"/>
          </xdr:nvSpPr>
          <xdr:spPr>
            <a:xfrm>
              <a:off x="2295525" y="60293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𝐿</m:t>
                        </m:r>
                      </m:e>
                      <m:sub>
                        <m:r>
                          <a:rPr lang="sv-SE" sz="1100" b="0" i="1">
                            <a:latin typeface="Cambria Math"/>
                          </a:rPr>
                          <m:t>6</m:t>
                        </m:r>
                      </m:sub>
                    </m:sSub>
                  </m:oMath>
                </m:oMathPara>
              </a14:m>
              <a:endParaRPr lang="sv-SE" sz="1100"/>
            </a:p>
          </xdr:txBody>
        </xdr:sp>
      </mc:Choice>
      <mc:Fallback xmlns="">
        <xdr:sp macro="" textlink="">
          <xdr:nvSpPr>
            <xdr:cNvPr id="33" name="textruta 32"/>
            <xdr:cNvSpPr txBox="1"/>
          </xdr:nvSpPr>
          <xdr:spPr>
            <a:xfrm>
              <a:off x="2295525" y="60293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𝐿_6</a:t>
              </a:r>
              <a:endParaRPr lang="sv-SE" sz="1100"/>
            </a:p>
          </xdr:txBody>
        </xdr:sp>
      </mc:Fallback>
    </mc:AlternateContent>
    <xdr:clientData/>
  </xdr:oneCellAnchor>
  <xdr:oneCellAnchor>
    <xdr:from>
      <xdr:col>13</xdr:col>
      <xdr:colOff>447675</xdr:colOff>
      <xdr:row>32</xdr:row>
      <xdr:rowOff>152400</xdr:rowOff>
    </xdr:from>
    <xdr:ext cx="914400" cy="264560"/>
    <mc:AlternateContent xmlns:mc="http://schemas.openxmlformats.org/markup-compatibility/2006" xmlns:a14="http://schemas.microsoft.com/office/drawing/2010/main">
      <mc:Choice Requires="a14">
        <xdr:sp macro="" textlink="">
          <xdr:nvSpPr>
            <xdr:cNvPr id="34" name="textruta 33">
              <a:extLst>
                <a:ext uri="{FF2B5EF4-FFF2-40B4-BE49-F238E27FC236}">
                  <a16:creationId xmlns:a16="http://schemas.microsoft.com/office/drawing/2014/main" id="{00000000-0008-0000-0100-000022000000}"/>
                </a:ext>
              </a:extLst>
            </xdr:cNvPr>
            <xdr:cNvSpPr txBox="1"/>
          </xdr:nvSpPr>
          <xdr:spPr>
            <a:xfrm>
              <a:off x="2276475" y="6400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b="1" i="1">
                            <a:latin typeface="Cambria Math" panose="02040503050406030204" pitchFamily="18" charset="0"/>
                          </a:rPr>
                        </m:ctrlPr>
                      </m:sSubPr>
                      <m:e>
                        <m:r>
                          <a:rPr lang="sv-SE" sz="1100" b="1" i="1">
                            <a:latin typeface="Cambria Math"/>
                          </a:rPr>
                          <m:t>𝑳</m:t>
                        </m:r>
                      </m:e>
                      <m:sub>
                        <m:r>
                          <a:rPr lang="sv-SE" sz="1100" b="1" i="1">
                            <a:latin typeface="Cambria Math"/>
                          </a:rPr>
                          <m:t>𝒕𝒐𝒕</m:t>
                        </m:r>
                      </m:sub>
                    </m:sSub>
                  </m:oMath>
                </m:oMathPara>
              </a14:m>
              <a:endParaRPr lang="sv-SE" sz="1100" b="1"/>
            </a:p>
          </xdr:txBody>
        </xdr:sp>
      </mc:Choice>
      <mc:Fallback xmlns="">
        <xdr:sp macro="" textlink="">
          <xdr:nvSpPr>
            <xdr:cNvPr id="34" name="textruta 33"/>
            <xdr:cNvSpPr txBox="1"/>
          </xdr:nvSpPr>
          <xdr:spPr>
            <a:xfrm>
              <a:off x="2276475" y="6400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1" i="0">
                  <a:latin typeface="Cambria Math"/>
                </a:rPr>
                <a:t>𝑳_𝒕𝒐𝒕</a:t>
              </a:r>
              <a:endParaRPr lang="sv-SE" sz="1100" b="1"/>
            </a:p>
          </xdr:txBody>
        </xdr:sp>
      </mc:Fallback>
    </mc:AlternateContent>
    <xdr:clientData/>
  </xdr:oneCellAnchor>
  <xdr:oneCellAnchor>
    <xdr:from>
      <xdr:col>10</xdr:col>
      <xdr:colOff>533400</xdr:colOff>
      <xdr:row>34</xdr:row>
      <xdr:rowOff>85725</xdr:rowOff>
    </xdr:from>
    <xdr:ext cx="1276350" cy="409279"/>
    <mc:AlternateContent xmlns:mc="http://schemas.openxmlformats.org/markup-compatibility/2006" xmlns:a14="http://schemas.microsoft.com/office/drawing/2010/main">
      <mc:Choice Requires="a14">
        <xdr:sp macro="" textlink="">
          <xdr:nvSpPr>
            <xdr:cNvPr id="35" name="textruta 34">
              <a:extLst>
                <a:ext uri="{FF2B5EF4-FFF2-40B4-BE49-F238E27FC236}">
                  <a16:creationId xmlns:a16="http://schemas.microsoft.com/office/drawing/2014/main" id="{00000000-0008-0000-0100-000023000000}"/>
                </a:ext>
              </a:extLst>
            </xdr:cNvPr>
            <xdr:cNvSpPr txBox="1"/>
          </xdr:nvSpPr>
          <xdr:spPr>
            <a:xfrm>
              <a:off x="5648325" y="6715125"/>
              <a:ext cx="1276350" cy="409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v-SE" sz="1100" b="0" i="1">
                        <a:latin typeface="Cambria Math"/>
                      </a:rPr>
                      <m:t>𝑓𝑚</m:t>
                    </m:r>
                    <m:r>
                      <a:rPr lang="sv-SE" sz="1100" b="0" i="1">
                        <a:latin typeface="Cambria Math"/>
                      </a:rPr>
                      <m:t>=</m:t>
                    </m:r>
                    <m:f>
                      <m:fPr>
                        <m:ctrlPr>
                          <a:rPr lang="sv-SE" sz="1100" b="0" i="1">
                            <a:latin typeface="Cambria Math" panose="02040503050406030204" pitchFamily="18" charset="0"/>
                          </a:rPr>
                        </m:ctrlPr>
                      </m:fPr>
                      <m:num>
                        <m:r>
                          <a:rPr lang="sv-SE" sz="1100" b="0" i="1">
                            <a:latin typeface="Cambria Math"/>
                          </a:rPr>
                          <m:t>𝑃𝑚</m:t>
                        </m:r>
                      </m:num>
                      <m:den>
                        <m:r>
                          <a:rPr lang="sv-SE" sz="1100" b="0" i="1">
                            <a:latin typeface="Cambria Math"/>
                          </a:rPr>
                          <m:t>𝑀𝑎𝑥</m:t>
                        </m:r>
                        <m:r>
                          <a:rPr lang="sv-SE" sz="1100" b="0" i="1">
                            <a:latin typeface="Cambria Math"/>
                          </a:rPr>
                          <m:t> </m:t>
                        </m:r>
                        <m:r>
                          <a:rPr lang="sv-SE" sz="1100" b="0" i="1">
                            <a:latin typeface="Cambria Math"/>
                          </a:rPr>
                          <m:t>𝐿𝑜𝑎𝑑</m:t>
                        </m:r>
                      </m:den>
                    </m:f>
                  </m:oMath>
                </m:oMathPara>
              </a14:m>
              <a:endParaRPr lang="sv-SE" sz="1100"/>
            </a:p>
          </xdr:txBody>
        </xdr:sp>
      </mc:Choice>
      <mc:Fallback xmlns="">
        <xdr:sp macro="" textlink="">
          <xdr:nvSpPr>
            <xdr:cNvPr id="35" name="textruta 34"/>
            <xdr:cNvSpPr txBox="1"/>
          </xdr:nvSpPr>
          <xdr:spPr>
            <a:xfrm>
              <a:off x="5648325" y="6715125"/>
              <a:ext cx="1276350" cy="409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sv-SE" sz="1100" b="0" i="0">
                  <a:latin typeface="Cambria Math"/>
                </a:rPr>
                <a:t>𝑓𝑚=𝑃𝑚/(𝑀𝑎𝑥 𝐿𝑜𝑎𝑑)</a:t>
              </a:r>
              <a:endParaRPr lang="sv-SE" sz="1100"/>
            </a:p>
          </xdr:txBody>
        </xdr:sp>
      </mc:Fallback>
    </mc:AlternateContent>
    <xdr:clientData/>
  </xdr:oneCellAnchor>
  <xdr:oneCellAnchor>
    <xdr:from>
      <xdr:col>10</xdr:col>
      <xdr:colOff>352425</xdr:colOff>
      <xdr:row>20</xdr:row>
      <xdr:rowOff>238125</xdr:rowOff>
    </xdr:from>
    <xdr:ext cx="3133726" cy="592470"/>
    <mc:AlternateContent xmlns:mc="http://schemas.openxmlformats.org/markup-compatibility/2006" xmlns:a14="http://schemas.microsoft.com/office/drawing/2010/main">
      <mc:Choice Requires="a14">
        <xdr:sp macro="" textlink="">
          <xdr:nvSpPr>
            <xdr:cNvPr id="36" name="textruta 35">
              <a:extLst>
                <a:ext uri="{FF2B5EF4-FFF2-40B4-BE49-F238E27FC236}">
                  <a16:creationId xmlns:a16="http://schemas.microsoft.com/office/drawing/2014/main" id="{00000000-0008-0000-0100-000024000000}"/>
                </a:ext>
              </a:extLst>
            </xdr:cNvPr>
            <xdr:cNvSpPr txBox="1"/>
          </xdr:nvSpPr>
          <xdr:spPr>
            <a:xfrm>
              <a:off x="6143625" y="4124325"/>
              <a:ext cx="3133726"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v-SE" sz="1100" b="0" i="1">
                        <a:latin typeface="Cambria Math"/>
                      </a:rPr>
                      <m:t>𝑃𝑚</m:t>
                    </m:r>
                    <m:r>
                      <a:rPr lang="sv-SE" sz="1100" b="0" i="1">
                        <a:latin typeface="Cambria Math"/>
                      </a:rPr>
                      <m:t>=</m:t>
                    </m:r>
                    <m:rad>
                      <m:radPr>
                        <m:ctrlPr>
                          <a:rPr lang="sv-SE" sz="1100" b="0" i="1">
                            <a:latin typeface="Cambria Math" panose="02040503050406030204" pitchFamily="18" charset="0"/>
                          </a:rPr>
                        </m:ctrlPr>
                      </m:radPr>
                      <m:deg>
                        <m:r>
                          <m:rPr>
                            <m:brk m:alnAt="7"/>
                          </m:rPr>
                          <a:rPr lang="sv-SE" sz="1100" b="0" i="1">
                            <a:latin typeface="Cambria Math"/>
                          </a:rPr>
                          <m:t>3</m:t>
                        </m:r>
                      </m:deg>
                      <m:e>
                        <m:f>
                          <m:fPr>
                            <m:ctrlPr>
                              <a:rPr lang="sv-SE" sz="1100" b="0" i="1">
                                <a:latin typeface="Cambria Math" panose="02040503050406030204" pitchFamily="18" charset="0"/>
                              </a:rPr>
                            </m:ctrlPr>
                          </m:fPr>
                          <m:num>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1</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1</m:t>
                                    </m:r>
                                  </m:sub>
                                </m:sSub>
                              </m:e>
                              <m:sup>
                                <m:r>
                                  <a:rPr lang="sv-SE" sz="1100" b="0" i="1">
                                    <a:latin typeface="Cambria Math"/>
                                  </a:rPr>
                                  <m:t>3</m:t>
                                </m:r>
                              </m:sup>
                            </m:sSup>
                            <m:r>
                              <a:rPr lang="sv-SE" sz="1100" b="0" i="1">
                                <a:latin typeface="Cambria Math"/>
                              </a:rPr>
                              <m:t>+</m:t>
                            </m:r>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2</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2</m:t>
                                    </m:r>
                                  </m:sub>
                                </m:sSub>
                              </m:e>
                              <m:sup>
                                <m:r>
                                  <a:rPr lang="sv-SE" sz="1100" b="0" i="1">
                                    <a:latin typeface="Cambria Math"/>
                                  </a:rPr>
                                  <m:t>3</m:t>
                                </m:r>
                              </m:sup>
                            </m:sSup>
                            <m:r>
                              <a:rPr lang="sv-SE" sz="1100" b="0" i="1">
                                <a:latin typeface="Cambria Math"/>
                              </a:rPr>
                              <m:t>+…+</m:t>
                            </m:r>
                            <m:sSup>
                              <m:sSupPr>
                                <m:ctrlPr>
                                  <a:rPr lang="sv-SE" sz="1100" b="0" i="1">
                                    <a:latin typeface="Cambria Math" panose="02040503050406030204" pitchFamily="18" charset="0"/>
                                  </a:rPr>
                                </m:ctrlPr>
                              </m:sSupPr>
                              <m:e>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𝑛</m:t>
                                    </m:r>
                                  </m:sub>
                                </m:sSub>
                                <m:r>
                                  <a:rPr lang="sv-SE" sz="1100" b="0" i="1">
                                    <a:latin typeface="Cambria Math"/>
                                  </a:rPr>
                                  <m:t>∗</m:t>
                                </m:r>
                                <m:sSub>
                                  <m:sSubPr>
                                    <m:ctrlPr>
                                      <a:rPr lang="sv-SE" sz="1100" b="0" i="1">
                                        <a:latin typeface="Cambria Math" panose="02040503050406030204" pitchFamily="18" charset="0"/>
                                      </a:rPr>
                                    </m:ctrlPr>
                                  </m:sSubPr>
                                  <m:e>
                                    <m:r>
                                      <a:rPr lang="sv-SE" sz="1100" b="0" i="1">
                                        <a:latin typeface="Cambria Math"/>
                                      </a:rPr>
                                      <m:t>𝑃</m:t>
                                    </m:r>
                                  </m:e>
                                  <m:sub>
                                    <m:r>
                                      <a:rPr lang="sv-SE" sz="1100" b="0" i="1">
                                        <a:latin typeface="Cambria Math"/>
                                      </a:rPr>
                                      <m:t>𝑛</m:t>
                                    </m:r>
                                  </m:sub>
                                </m:sSub>
                              </m:e>
                              <m:sup>
                                <m:r>
                                  <a:rPr lang="sv-SE" sz="1100" b="0" i="1">
                                    <a:latin typeface="Cambria Math"/>
                                  </a:rPr>
                                  <m:t>3</m:t>
                                </m:r>
                              </m:sup>
                            </m:sSup>
                          </m:num>
                          <m:den>
                            <m:sSub>
                              <m:sSubPr>
                                <m:ctrlPr>
                                  <a:rPr lang="sv-SE" sz="1100" b="0" i="1">
                                    <a:latin typeface="Cambria Math" panose="02040503050406030204" pitchFamily="18" charset="0"/>
                                  </a:rPr>
                                </m:ctrlPr>
                              </m:sSubPr>
                              <m:e>
                                <m:r>
                                  <a:rPr lang="sv-SE" sz="1100" b="0" i="1">
                                    <a:latin typeface="Cambria Math"/>
                                  </a:rPr>
                                  <m:t>𝐿</m:t>
                                </m:r>
                              </m:e>
                              <m:sub>
                                <m:r>
                                  <a:rPr lang="sv-SE" sz="1100" b="0" i="1">
                                    <a:latin typeface="Cambria Math"/>
                                  </a:rPr>
                                  <m:t>𝑡𝑜𝑡</m:t>
                                </m:r>
                              </m:sub>
                            </m:sSub>
                          </m:den>
                        </m:f>
                      </m:e>
                    </m:rad>
                  </m:oMath>
                </m:oMathPara>
              </a14:m>
              <a:endParaRPr lang="sv-SE" sz="1100"/>
            </a:p>
          </xdr:txBody>
        </xdr:sp>
      </mc:Choice>
      <mc:Fallback xmlns="">
        <xdr:sp macro="" textlink="">
          <xdr:nvSpPr>
            <xdr:cNvPr id="36" name="textruta 35"/>
            <xdr:cNvSpPr txBox="1"/>
          </xdr:nvSpPr>
          <xdr:spPr>
            <a:xfrm>
              <a:off x="6143625" y="4124325"/>
              <a:ext cx="3133726"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sv-SE" sz="1100" b="0" i="0">
                  <a:latin typeface="Cambria Math"/>
                </a:rPr>
                <a:t>𝑃𝑚=∛((〖𝐿_1∗𝑃_1〗^3+〖𝐿_2∗𝑃_2〗^3+…+〖𝐿_𝑛∗𝑃_𝑛〗^3)/𝐿_𝑡𝑜𝑡 )</a:t>
              </a:r>
              <a:endParaRPr lang="sv-SE" sz="1100"/>
            </a:p>
          </xdr:txBody>
        </xdr:sp>
      </mc:Fallback>
    </mc:AlternateContent>
    <xdr:clientData/>
  </xdr:oneCellAnchor>
  <xdr:oneCellAnchor>
    <xdr:from>
      <xdr:col>10</xdr:col>
      <xdr:colOff>571500</xdr:colOff>
      <xdr:row>25</xdr:row>
      <xdr:rowOff>147637</xdr:rowOff>
    </xdr:from>
    <xdr:ext cx="914400" cy="264560"/>
    <mc:AlternateContent xmlns:mc="http://schemas.openxmlformats.org/markup-compatibility/2006" xmlns:a14="http://schemas.microsoft.com/office/drawing/2010/main">
      <mc:Choice Requires="a14">
        <xdr:sp macro="" textlink="">
          <xdr:nvSpPr>
            <xdr:cNvPr id="37" name="textruta 36">
              <a:extLst>
                <a:ext uri="{FF2B5EF4-FFF2-40B4-BE49-F238E27FC236}">
                  <a16:creationId xmlns:a16="http://schemas.microsoft.com/office/drawing/2014/main" id="{00000000-0008-0000-0100-000025000000}"/>
                </a:ext>
              </a:extLst>
            </xdr:cNvPr>
            <xdr:cNvSpPr txBox="1"/>
          </xdr:nvSpPr>
          <xdr:spPr>
            <a:xfrm>
              <a:off x="571500" y="50625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1</m:t>
                        </m:r>
                      </m:sub>
                    </m:sSub>
                  </m:oMath>
                </m:oMathPara>
              </a14:m>
              <a:endParaRPr lang="sv-SE" sz="1100"/>
            </a:p>
          </xdr:txBody>
        </xdr:sp>
      </mc:Choice>
      <mc:Fallback xmlns="">
        <xdr:sp macro="" textlink="">
          <xdr:nvSpPr>
            <xdr:cNvPr id="37" name="textruta 36"/>
            <xdr:cNvSpPr txBox="1"/>
          </xdr:nvSpPr>
          <xdr:spPr>
            <a:xfrm>
              <a:off x="571500" y="50625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𝑃_1</a:t>
              </a:r>
              <a:endParaRPr lang="sv-SE" sz="1100"/>
            </a:p>
          </xdr:txBody>
        </xdr:sp>
      </mc:Fallback>
    </mc:AlternateContent>
    <xdr:clientData/>
  </xdr:oneCellAnchor>
  <xdr:oneCellAnchor>
    <xdr:from>
      <xdr:col>10</xdr:col>
      <xdr:colOff>571500</xdr:colOff>
      <xdr:row>26</xdr:row>
      <xdr:rowOff>157162</xdr:rowOff>
    </xdr:from>
    <xdr:ext cx="914400" cy="264560"/>
    <mc:AlternateContent xmlns:mc="http://schemas.openxmlformats.org/markup-compatibility/2006" xmlns:a14="http://schemas.microsoft.com/office/drawing/2010/main">
      <mc:Choice Requires="a14">
        <xdr:sp macro="" textlink="">
          <xdr:nvSpPr>
            <xdr:cNvPr id="38" name="textruta 37">
              <a:extLst>
                <a:ext uri="{FF2B5EF4-FFF2-40B4-BE49-F238E27FC236}">
                  <a16:creationId xmlns:a16="http://schemas.microsoft.com/office/drawing/2014/main" id="{00000000-0008-0000-0100-000026000000}"/>
                </a:ext>
              </a:extLst>
            </xdr:cNvPr>
            <xdr:cNvSpPr txBox="1"/>
          </xdr:nvSpPr>
          <xdr:spPr>
            <a:xfrm>
              <a:off x="571500" y="5262562"/>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2</m:t>
                        </m:r>
                      </m:sub>
                    </m:sSub>
                  </m:oMath>
                </m:oMathPara>
              </a14:m>
              <a:endParaRPr lang="sv-SE" sz="1100"/>
            </a:p>
          </xdr:txBody>
        </xdr:sp>
      </mc:Choice>
      <mc:Fallback xmlns="">
        <xdr:sp macro="" textlink="">
          <xdr:nvSpPr>
            <xdr:cNvPr id="38" name="textruta 37"/>
            <xdr:cNvSpPr txBox="1"/>
          </xdr:nvSpPr>
          <xdr:spPr>
            <a:xfrm>
              <a:off x="571500" y="5262562"/>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𝑃_2</a:t>
              </a:r>
              <a:endParaRPr lang="sv-SE" sz="1100"/>
            </a:p>
          </xdr:txBody>
        </xdr:sp>
      </mc:Fallback>
    </mc:AlternateContent>
    <xdr:clientData/>
  </xdr:oneCellAnchor>
  <xdr:oneCellAnchor>
    <xdr:from>
      <xdr:col>10</xdr:col>
      <xdr:colOff>552450</xdr:colOff>
      <xdr:row>27</xdr:row>
      <xdr:rowOff>152400</xdr:rowOff>
    </xdr:from>
    <xdr:ext cx="914400" cy="264560"/>
    <mc:AlternateContent xmlns:mc="http://schemas.openxmlformats.org/markup-compatibility/2006" xmlns:a14="http://schemas.microsoft.com/office/drawing/2010/main">
      <mc:Choice Requires="a14">
        <xdr:sp macro="" textlink="">
          <xdr:nvSpPr>
            <xdr:cNvPr id="39" name="textruta 38">
              <a:extLst>
                <a:ext uri="{FF2B5EF4-FFF2-40B4-BE49-F238E27FC236}">
                  <a16:creationId xmlns:a16="http://schemas.microsoft.com/office/drawing/2014/main" id="{00000000-0008-0000-0100-000027000000}"/>
                </a:ext>
              </a:extLst>
            </xdr:cNvPr>
            <xdr:cNvSpPr txBox="1"/>
          </xdr:nvSpPr>
          <xdr:spPr>
            <a:xfrm>
              <a:off x="552450" y="54483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3</m:t>
                        </m:r>
                      </m:sub>
                    </m:sSub>
                  </m:oMath>
                </m:oMathPara>
              </a14:m>
              <a:endParaRPr lang="sv-SE" sz="1100"/>
            </a:p>
          </xdr:txBody>
        </xdr:sp>
      </mc:Choice>
      <mc:Fallback xmlns="">
        <xdr:sp macro="" textlink="">
          <xdr:nvSpPr>
            <xdr:cNvPr id="39" name="textruta 38"/>
            <xdr:cNvSpPr txBox="1"/>
          </xdr:nvSpPr>
          <xdr:spPr>
            <a:xfrm>
              <a:off x="552450" y="54483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𝑃_3</a:t>
              </a:r>
              <a:endParaRPr lang="sv-SE" sz="1100"/>
            </a:p>
          </xdr:txBody>
        </xdr:sp>
      </mc:Fallback>
    </mc:AlternateContent>
    <xdr:clientData/>
  </xdr:oneCellAnchor>
  <xdr:oneCellAnchor>
    <xdr:from>
      <xdr:col>10</xdr:col>
      <xdr:colOff>533400</xdr:colOff>
      <xdr:row>28</xdr:row>
      <xdr:rowOff>152400</xdr:rowOff>
    </xdr:from>
    <xdr:ext cx="914400" cy="264560"/>
    <mc:AlternateContent xmlns:mc="http://schemas.openxmlformats.org/markup-compatibility/2006" xmlns:a14="http://schemas.microsoft.com/office/drawing/2010/main">
      <mc:Choice Requires="a14">
        <xdr:sp macro="" textlink="">
          <xdr:nvSpPr>
            <xdr:cNvPr id="40" name="textruta 39">
              <a:extLst>
                <a:ext uri="{FF2B5EF4-FFF2-40B4-BE49-F238E27FC236}">
                  <a16:creationId xmlns:a16="http://schemas.microsoft.com/office/drawing/2014/main" id="{00000000-0008-0000-0100-000028000000}"/>
                </a:ext>
              </a:extLst>
            </xdr:cNvPr>
            <xdr:cNvSpPr txBox="1"/>
          </xdr:nvSpPr>
          <xdr:spPr>
            <a:xfrm>
              <a:off x="533400"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4</m:t>
                        </m:r>
                      </m:sub>
                    </m:sSub>
                  </m:oMath>
                </m:oMathPara>
              </a14:m>
              <a:endParaRPr lang="sv-SE" sz="1100"/>
            </a:p>
          </xdr:txBody>
        </xdr:sp>
      </mc:Choice>
      <mc:Fallback xmlns="">
        <xdr:sp macro="" textlink="">
          <xdr:nvSpPr>
            <xdr:cNvPr id="40" name="textruta 39"/>
            <xdr:cNvSpPr txBox="1"/>
          </xdr:nvSpPr>
          <xdr:spPr>
            <a:xfrm>
              <a:off x="533400" y="56388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𝑃_4</a:t>
              </a:r>
              <a:endParaRPr lang="sv-SE" sz="1100"/>
            </a:p>
          </xdr:txBody>
        </xdr:sp>
      </mc:Fallback>
    </mc:AlternateContent>
    <xdr:clientData/>
  </xdr:oneCellAnchor>
  <xdr:oneCellAnchor>
    <xdr:from>
      <xdr:col>10</xdr:col>
      <xdr:colOff>533400</xdr:colOff>
      <xdr:row>29</xdr:row>
      <xdr:rowOff>133350</xdr:rowOff>
    </xdr:from>
    <xdr:ext cx="914400" cy="264560"/>
    <mc:AlternateContent xmlns:mc="http://schemas.openxmlformats.org/markup-compatibility/2006" xmlns:a14="http://schemas.microsoft.com/office/drawing/2010/main">
      <mc:Choice Requires="a14">
        <xdr:sp macro="" textlink="">
          <xdr:nvSpPr>
            <xdr:cNvPr id="41" name="textruta 40">
              <a:extLst>
                <a:ext uri="{FF2B5EF4-FFF2-40B4-BE49-F238E27FC236}">
                  <a16:creationId xmlns:a16="http://schemas.microsoft.com/office/drawing/2014/main" id="{00000000-0008-0000-0100-000029000000}"/>
                </a:ext>
              </a:extLst>
            </xdr:cNvPr>
            <xdr:cNvSpPr txBox="1"/>
          </xdr:nvSpPr>
          <xdr:spPr>
            <a:xfrm>
              <a:off x="533400" y="5810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5</m:t>
                        </m:r>
                      </m:sub>
                    </m:sSub>
                  </m:oMath>
                </m:oMathPara>
              </a14:m>
              <a:endParaRPr lang="sv-SE" sz="1100"/>
            </a:p>
          </xdr:txBody>
        </xdr:sp>
      </mc:Choice>
      <mc:Fallback xmlns="">
        <xdr:sp macro="" textlink="">
          <xdr:nvSpPr>
            <xdr:cNvPr id="41" name="textruta 40"/>
            <xdr:cNvSpPr txBox="1"/>
          </xdr:nvSpPr>
          <xdr:spPr>
            <a:xfrm>
              <a:off x="533400" y="5810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𝑃_5</a:t>
              </a:r>
              <a:endParaRPr lang="sv-SE" sz="1100"/>
            </a:p>
          </xdr:txBody>
        </xdr:sp>
      </mc:Fallback>
    </mc:AlternateContent>
    <xdr:clientData/>
  </xdr:oneCellAnchor>
  <xdr:oneCellAnchor>
    <xdr:from>
      <xdr:col>10</xdr:col>
      <xdr:colOff>523875</xdr:colOff>
      <xdr:row>30</xdr:row>
      <xdr:rowOff>142875</xdr:rowOff>
    </xdr:from>
    <xdr:ext cx="914400" cy="264560"/>
    <mc:AlternateContent xmlns:mc="http://schemas.openxmlformats.org/markup-compatibility/2006" xmlns:a14="http://schemas.microsoft.com/office/drawing/2010/main">
      <mc:Choice Requires="a14">
        <xdr:sp macro="" textlink="">
          <xdr:nvSpPr>
            <xdr:cNvPr id="42" name="textruta 41">
              <a:extLst>
                <a:ext uri="{FF2B5EF4-FFF2-40B4-BE49-F238E27FC236}">
                  <a16:creationId xmlns:a16="http://schemas.microsoft.com/office/drawing/2014/main" id="{00000000-0008-0000-0100-00002A000000}"/>
                </a:ext>
              </a:extLst>
            </xdr:cNvPr>
            <xdr:cNvSpPr txBox="1"/>
          </xdr:nvSpPr>
          <xdr:spPr>
            <a:xfrm>
              <a:off x="523875" y="60102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sv-SE" sz="1100" i="1">
                            <a:latin typeface="Cambria Math" panose="02040503050406030204" pitchFamily="18" charset="0"/>
                          </a:rPr>
                        </m:ctrlPr>
                      </m:sSubPr>
                      <m:e>
                        <m:r>
                          <a:rPr lang="sv-SE" sz="1100" b="0" i="1">
                            <a:latin typeface="Cambria Math"/>
                          </a:rPr>
                          <m:t>𝑃</m:t>
                        </m:r>
                      </m:e>
                      <m:sub>
                        <m:r>
                          <a:rPr lang="sv-SE" sz="1100" b="0" i="1">
                            <a:latin typeface="Cambria Math"/>
                          </a:rPr>
                          <m:t>6</m:t>
                        </m:r>
                      </m:sub>
                    </m:sSub>
                  </m:oMath>
                </m:oMathPara>
              </a14:m>
              <a:endParaRPr lang="sv-SE" sz="1100"/>
            </a:p>
          </xdr:txBody>
        </xdr:sp>
      </mc:Choice>
      <mc:Fallback xmlns="">
        <xdr:sp macro="" textlink="">
          <xdr:nvSpPr>
            <xdr:cNvPr id="42" name="textruta 41"/>
            <xdr:cNvSpPr txBox="1"/>
          </xdr:nvSpPr>
          <xdr:spPr>
            <a:xfrm>
              <a:off x="523875" y="60102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sv-SE" sz="1100" b="0" i="0">
                  <a:latin typeface="Cambria Math"/>
                </a:rPr>
                <a:t>𝑃_6</a:t>
              </a:r>
              <a:endParaRPr lang="sv-SE" sz="1100"/>
            </a:p>
          </xdr:txBody>
        </xdr:sp>
      </mc:Fallback>
    </mc:AlternateContent>
    <xdr:clientData/>
  </xdr:oneCellAnchor>
  <xdr:twoCellAnchor>
    <xdr:from>
      <xdr:col>6</xdr:col>
      <xdr:colOff>47625</xdr:colOff>
      <xdr:row>1</xdr:row>
      <xdr:rowOff>66675</xdr:rowOff>
    </xdr:from>
    <xdr:to>
      <xdr:col>8</xdr:col>
      <xdr:colOff>333375</xdr:colOff>
      <xdr:row>2</xdr:row>
      <xdr:rowOff>76200</xdr:rowOff>
    </xdr:to>
    <xdr:grpSp>
      <xdr:nvGrpSpPr>
        <xdr:cNvPr id="43" name="Grupp 42">
          <a:extLst>
            <a:ext uri="{FF2B5EF4-FFF2-40B4-BE49-F238E27FC236}">
              <a16:creationId xmlns:a16="http://schemas.microsoft.com/office/drawing/2014/main" id="{8934F4D4-4BDA-435D-A6D7-50071E10528C}"/>
            </a:ext>
          </a:extLst>
        </xdr:cNvPr>
        <xdr:cNvGrpSpPr/>
      </xdr:nvGrpSpPr>
      <xdr:grpSpPr>
        <a:xfrm>
          <a:off x="3705225" y="257175"/>
          <a:ext cx="1200150" cy="276225"/>
          <a:chOff x="11944350" y="1000125"/>
          <a:chExt cx="1200150" cy="276225"/>
        </a:xfrm>
      </xdr:grpSpPr>
      <xdr:sp macro="" textlink="">
        <xdr:nvSpPr>
          <xdr:cNvPr id="44" name="Rektangel: övre hörn klippta 43">
            <a:extLst>
              <a:ext uri="{FF2B5EF4-FFF2-40B4-BE49-F238E27FC236}">
                <a16:creationId xmlns:a16="http://schemas.microsoft.com/office/drawing/2014/main" id="{497DF5E2-B249-4A2C-AC75-879B23C81940}"/>
              </a:ext>
            </a:extLst>
          </xdr:cNvPr>
          <xdr:cNvSpPr/>
        </xdr:nvSpPr>
        <xdr:spPr>
          <a:xfrm>
            <a:off x="11944350" y="1000125"/>
            <a:ext cx="1200150" cy="276225"/>
          </a:xfrm>
          <a:prstGeom prst="snip2Same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sv-SE" sz="1100"/>
          </a:p>
        </xdr:txBody>
      </xdr:sp>
      <xdr:sp macro="" textlink="">
        <xdr:nvSpPr>
          <xdr:cNvPr id="45" name="textruta 44">
            <a:hlinkClick xmlns:r="http://schemas.openxmlformats.org/officeDocument/2006/relationships" r:id="rId5" tooltip="Go to information"/>
            <a:extLst>
              <a:ext uri="{FF2B5EF4-FFF2-40B4-BE49-F238E27FC236}">
                <a16:creationId xmlns:a16="http://schemas.microsoft.com/office/drawing/2014/main" id="{9FB9F5F2-5EBE-4033-8921-E54569590583}"/>
              </a:ext>
            </a:extLst>
          </xdr:cNvPr>
          <xdr:cNvSpPr txBox="1"/>
        </xdr:nvSpPr>
        <xdr:spPr>
          <a:xfrm>
            <a:off x="12106276" y="1028701"/>
            <a:ext cx="952500" cy="228600"/>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algn="ctr"/>
            <a:r>
              <a:rPr lang="sv-SE" sz="1100" i="1">
                <a:latin typeface="+mj-lt"/>
              </a:rPr>
              <a:t>Information</a:t>
            </a:r>
            <a:endParaRPr lang="sv-SE" sz="1100" i="1" baseline="0">
              <a:latin typeface="+mj-lt"/>
            </a:endParaRPr>
          </a:p>
          <a:p>
            <a:pPr algn="ctr"/>
            <a:endParaRPr lang="sv-SE" sz="1100"/>
          </a:p>
        </xdr:txBody>
      </xdr:sp>
    </xdr:grpSp>
    <xdr:clientData/>
  </xdr:twoCellAnchor>
  <xdr:twoCellAnchor>
    <xdr:from>
      <xdr:col>4</xdr:col>
      <xdr:colOff>0</xdr:colOff>
      <xdr:row>1</xdr:row>
      <xdr:rowOff>76200</xdr:rowOff>
    </xdr:from>
    <xdr:to>
      <xdr:col>5</xdr:col>
      <xdr:colOff>590550</xdr:colOff>
      <xdr:row>2</xdr:row>
      <xdr:rowOff>85725</xdr:rowOff>
    </xdr:to>
    <xdr:grpSp>
      <xdr:nvGrpSpPr>
        <xdr:cNvPr id="46" name="Grupp 45">
          <a:extLst>
            <a:ext uri="{FF2B5EF4-FFF2-40B4-BE49-F238E27FC236}">
              <a16:creationId xmlns:a16="http://schemas.microsoft.com/office/drawing/2014/main" id="{95CB9925-FAC2-409C-AF1C-D6316727301A}"/>
            </a:ext>
          </a:extLst>
        </xdr:cNvPr>
        <xdr:cNvGrpSpPr/>
      </xdr:nvGrpSpPr>
      <xdr:grpSpPr>
        <a:xfrm>
          <a:off x="2438400" y="266700"/>
          <a:ext cx="1200150" cy="276225"/>
          <a:chOff x="11944350" y="1000125"/>
          <a:chExt cx="1200150" cy="276225"/>
        </a:xfrm>
      </xdr:grpSpPr>
      <xdr:sp macro="" textlink="">
        <xdr:nvSpPr>
          <xdr:cNvPr id="47" name="Rektangel: övre hörn klippta 46">
            <a:extLst>
              <a:ext uri="{FF2B5EF4-FFF2-40B4-BE49-F238E27FC236}">
                <a16:creationId xmlns:a16="http://schemas.microsoft.com/office/drawing/2014/main" id="{41386B91-77F8-4471-9FFB-2DC0CA6C69D8}"/>
              </a:ext>
            </a:extLst>
          </xdr:cNvPr>
          <xdr:cNvSpPr/>
        </xdr:nvSpPr>
        <xdr:spPr>
          <a:xfrm>
            <a:off x="11944350" y="1000125"/>
            <a:ext cx="1200150" cy="276225"/>
          </a:xfrm>
          <a:prstGeom prst="snip2Same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lang="sv-SE" sz="1100"/>
          </a:p>
        </xdr:txBody>
      </xdr:sp>
      <xdr:sp macro="" textlink="">
        <xdr:nvSpPr>
          <xdr:cNvPr id="48" name="textruta 47">
            <a:hlinkClick xmlns:r="http://schemas.openxmlformats.org/officeDocument/2006/relationships" r:id="rId6" tooltip="Go to input"/>
            <a:extLst>
              <a:ext uri="{FF2B5EF4-FFF2-40B4-BE49-F238E27FC236}">
                <a16:creationId xmlns:a16="http://schemas.microsoft.com/office/drawing/2014/main" id="{B666CE19-6AA2-421E-9CF4-5727E0101225}"/>
              </a:ext>
            </a:extLst>
          </xdr:cNvPr>
          <xdr:cNvSpPr txBox="1"/>
        </xdr:nvSpPr>
        <xdr:spPr>
          <a:xfrm>
            <a:off x="12106276" y="1028701"/>
            <a:ext cx="952500" cy="228600"/>
          </a:xfrm>
          <a:prstGeom prst="rect">
            <a:avLst/>
          </a:prstGeom>
          <a:noFill/>
          <a:ln>
            <a:no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sv-SE" sz="1100" i="1">
                <a:latin typeface="+mj-lt"/>
              </a:rPr>
              <a:t>Input</a:t>
            </a:r>
            <a:endParaRPr lang="sv-SE" sz="1100" i="1" baseline="0">
              <a:latin typeface="+mj-lt"/>
            </a:endParaRPr>
          </a:p>
          <a:p>
            <a:pPr algn="ctr"/>
            <a:endParaRPr lang="sv-SE"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0</xdr:row>
      <xdr:rowOff>104775</xdr:rowOff>
    </xdr:from>
    <xdr:to>
      <xdr:col>1</xdr:col>
      <xdr:colOff>1276350</xdr:colOff>
      <xdr:row>2</xdr:row>
      <xdr:rowOff>0</xdr:rowOff>
    </xdr:to>
    <xdr:grpSp>
      <xdr:nvGrpSpPr>
        <xdr:cNvPr id="3" name="Grupp 2">
          <a:extLst>
            <a:ext uri="{FF2B5EF4-FFF2-40B4-BE49-F238E27FC236}">
              <a16:creationId xmlns:a16="http://schemas.microsoft.com/office/drawing/2014/main" id="{F05F70C9-1D35-4BED-9EF7-28A0D947A440}"/>
            </a:ext>
          </a:extLst>
        </xdr:cNvPr>
        <xdr:cNvGrpSpPr/>
      </xdr:nvGrpSpPr>
      <xdr:grpSpPr>
        <a:xfrm>
          <a:off x="685800" y="104775"/>
          <a:ext cx="1200150" cy="276225"/>
          <a:chOff x="11944350" y="1000125"/>
          <a:chExt cx="1200150" cy="276225"/>
        </a:xfrm>
      </xdr:grpSpPr>
      <xdr:sp macro="" textlink="">
        <xdr:nvSpPr>
          <xdr:cNvPr id="4" name="Rektangel: övre hörn klippta 3">
            <a:extLst>
              <a:ext uri="{FF2B5EF4-FFF2-40B4-BE49-F238E27FC236}">
                <a16:creationId xmlns:a16="http://schemas.microsoft.com/office/drawing/2014/main" id="{7E477044-671F-43F9-938E-373C4213B7C5}"/>
              </a:ext>
            </a:extLst>
          </xdr:cNvPr>
          <xdr:cNvSpPr/>
        </xdr:nvSpPr>
        <xdr:spPr>
          <a:xfrm>
            <a:off x="11944350" y="1000125"/>
            <a:ext cx="1200150" cy="276225"/>
          </a:xfrm>
          <a:prstGeom prst="snip2Same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lang="sv-SE" sz="1100"/>
          </a:p>
        </xdr:txBody>
      </xdr:sp>
      <xdr:sp macro="" textlink="">
        <xdr:nvSpPr>
          <xdr:cNvPr id="5" name="textruta 4">
            <a:hlinkClick xmlns:r="http://schemas.openxmlformats.org/officeDocument/2006/relationships" r:id="rId1" tooltip="Click to go to Input"/>
            <a:extLst>
              <a:ext uri="{FF2B5EF4-FFF2-40B4-BE49-F238E27FC236}">
                <a16:creationId xmlns:a16="http://schemas.microsoft.com/office/drawing/2014/main" id="{56F6891F-2C7D-4615-B45C-6C0148C623C6}"/>
              </a:ext>
            </a:extLst>
          </xdr:cNvPr>
          <xdr:cNvSpPr txBox="1"/>
        </xdr:nvSpPr>
        <xdr:spPr>
          <a:xfrm>
            <a:off x="12106276" y="1028701"/>
            <a:ext cx="952500" cy="228600"/>
          </a:xfrm>
          <a:prstGeom prst="rect">
            <a:avLst/>
          </a:prstGeom>
          <a:noFill/>
          <a:ln>
            <a:no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sv-SE" sz="1100" i="1">
                <a:latin typeface="+mj-lt"/>
              </a:rPr>
              <a:t>Input</a:t>
            </a:r>
            <a:endParaRPr lang="sv-SE" sz="1100" i="1" baseline="0">
              <a:latin typeface="+mj-lt"/>
            </a:endParaRPr>
          </a:p>
          <a:p>
            <a:pPr algn="ctr"/>
            <a:endParaRPr lang="sv-SE" sz="1100"/>
          </a:p>
        </xdr:txBody>
      </xdr:sp>
    </xdr:grpSp>
    <xdr:clientData/>
  </xdr:twoCellAnchor>
  <xdr:twoCellAnchor>
    <xdr:from>
      <xdr:col>1</xdr:col>
      <xdr:colOff>1428750</xdr:colOff>
      <xdr:row>0</xdr:row>
      <xdr:rowOff>104775</xdr:rowOff>
    </xdr:from>
    <xdr:to>
      <xdr:col>3</xdr:col>
      <xdr:colOff>180975</xdr:colOff>
      <xdr:row>2</xdr:row>
      <xdr:rowOff>0</xdr:rowOff>
    </xdr:to>
    <xdr:grpSp>
      <xdr:nvGrpSpPr>
        <xdr:cNvPr id="6" name="Grupp 5">
          <a:extLst>
            <a:ext uri="{FF2B5EF4-FFF2-40B4-BE49-F238E27FC236}">
              <a16:creationId xmlns:a16="http://schemas.microsoft.com/office/drawing/2014/main" id="{AB85A21D-2BF2-42FD-AC4A-7E5158B197A1}"/>
            </a:ext>
          </a:extLst>
        </xdr:cNvPr>
        <xdr:cNvGrpSpPr/>
      </xdr:nvGrpSpPr>
      <xdr:grpSpPr>
        <a:xfrm>
          <a:off x="2038350" y="104775"/>
          <a:ext cx="1333500" cy="276225"/>
          <a:chOff x="11944350" y="1000125"/>
          <a:chExt cx="1200150" cy="276225"/>
        </a:xfrm>
      </xdr:grpSpPr>
      <xdr:sp macro="" textlink="">
        <xdr:nvSpPr>
          <xdr:cNvPr id="7" name="Rektangel: övre hörn klippta 6">
            <a:extLst>
              <a:ext uri="{FF2B5EF4-FFF2-40B4-BE49-F238E27FC236}">
                <a16:creationId xmlns:a16="http://schemas.microsoft.com/office/drawing/2014/main" id="{071DA060-BA84-4F28-8B74-374EB9D9A99C}"/>
              </a:ext>
            </a:extLst>
          </xdr:cNvPr>
          <xdr:cNvSpPr/>
        </xdr:nvSpPr>
        <xdr:spPr>
          <a:xfrm>
            <a:off x="11944350" y="1000125"/>
            <a:ext cx="1200150" cy="276225"/>
          </a:xfrm>
          <a:prstGeom prst="snip2Same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sv-SE" sz="1100"/>
          </a:p>
        </xdr:txBody>
      </xdr:sp>
      <xdr:sp macro="" textlink="">
        <xdr:nvSpPr>
          <xdr:cNvPr id="8" name="textruta 7">
            <a:hlinkClick xmlns:r="http://schemas.openxmlformats.org/officeDocument/2006/relationships" r:id="rId2" tooltip="Click to go to fm factor"/>
            <a:extLst>
              <a:ext uri="{FF2B5EF4-FFF2-40B4-BE49-F238E27FC236}">
                <a16:creationId xmlns:a16="http://schemas.microsoft.com/office/drawing/2014/main" id="{025F897A-EC0A-4B9C-A57A-56EFDE3111D7}"/>
              </a:ext>
            </a:extLst>
          </xdr:cNvPr>
          <xdr:cNvSpPr txBox="1"/>
        </xdr:nvSpPr>
        <xdr:spPr>
          <a:xfrm>
            <a:off x="12106276" y="1028701"/>
            <a:ext cx="952500" cy="228600"/>
          </a:xfrm>
          <a:prstGeom prst="rect">
            <a:avLst/>
          </a:prstGeom>
          <a:noFill/>
          <a:ln>
            <a:no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sv-SE" sz="1100" i="1" baseline="0">
                <a:latin typeface="+mj-lt"/>
              </a:rPr>
              <a:t>fm factor</a:t>
            </a:r>
          </a:p>
          <a:p>
            <a:pPr algn="ctr"/>
            <a:endParaRPr lang="sv-SE" sz="1100"/>
          </a:p>
        </xdr:txBody>
      </xdr:sp>
    </xdr:grpSp>
    <xdr:clientData/>
  </xdr:twoCellAnchor>
  <xdr:twoCellAnchor editAs="oneCell">
    <xdr:from>
      <xdr:col>5</xdr:col>
      <xdr:colOff>1</xdr:colOff>
      <xdr:row>38</xdr:row>
      <xdr:rowOff>180975</xdr:rowOff>
    </xdr:from>
    <xdr:to>
      <xdr:col>8</xdr:col>
      <xdr:colOff>1892</xdr:colOff>
      <xdr:row>79</xdr:row>
      <xdr:rowOff>151376</xdr:rowOff>
    </xdr:to>
    <xdr:pic>
      <xdr:nvPicPr>
        <xdr:cNvPr id="12" name="Bildobjekt 11">
          <a:extLst>
            <a:ext uri="{FF2B5EF4-FFF2-40B4-BE49-F238E27FC236}">
              <a16:creationId xmlns:a16="http://schemas.microsoft.com/office/drawing/2014/main" id="{1D4E118B-67CA-4769-9DDF-3AC1840C8A52}"/>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Effect>
                    <a14:colorTemperature colorTemp="5300"/>
                  </a14:imgEffect>
                </a14:imgLayer>
              </a14:imgProps>
            </a:ext>
          </a:extLst>
        </a:blip>
        <a:stretch>
          <a:fillRect/>
        </a:stretch>
      </xdr:blipFill>
      <xdr:spPr>
        <a:xfrm>
          <a:off x="4781551" y="7715250"/>
          <a:ext cx="3478516" cy="7790426"/>
        </a:xfrm>
        <a:prstGeom prst="rect">
          <a:avLst/>
        </a:prstGeom>
      </xdr:spPr>
    </xdr:pic>
    <xdr:clientData/>
  </xdr:twoCellAnchor>
  <xdr:twoCellAnchor editAs="oneCell">
    <xdr:from>
      <xdr:col>0</xdr:col>
      <xdr:colOff>590550</xdr:colOff>
      <xdr:row>39</xdr:row>
      <xdr:rowOff>0</xdr:rowOff>
    </xdr:from>
    <xdr:to>
      <xdr:col>4</xdr:col>
      <xdr:colOff>32569</xdr:colOff>
      <xdr:row>80</xdr:row>
      <xdr:rowOff>151380</xdr:rowOff>
    </xdr:to>
    <xdr:pic>
      <xdr:nvPicPr>
        <xdr:cNvPr id="13" name="Bildobjekt 12">
          <a:extLst>
            <a:ext uri="{FF2B5EF4-FFF2-40B4-BE49-F238E27FC236}">
              <a16:creationId xmlns:a16="http://schemas.microsoft.com/office/drawing/2014/main" id="{CD93C5E3-3F9F-42B9-BF45-8D9677D37268}"/>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25000"/>
                  </a14:imgEffect>
                  <a14:imgEffect>
                    <a14:colorTemperature colorTemp="5300"/>
                  </a14:imgEffect>
                </a14:imgLayer>
              </a14:imgProps>
            </a:ext>
          </a:extLst>
        </a:blip>
        <a:stretch>
          <a:fillRect/>
        </a:stretch>
      </xdr:blipFill>
      <xdr:spPr>
        <a:xfrm>
          <a:off x="590550" y="7734300"/>
          <a:ext cx="3613969" cy="7961880"/>
        </a:xfrm>
        <a:prstGeom prst="rect">
          <a:avLst/>
        </a:prstGeom>
      </xdr:spPr>
    </xdr:pic>
    <xdr:clientData/>
  </xdr:twoCellAnchor>
  <xdr:twoCellAnchor editAs="oneCell">
    <xdr:from>
      <xdr:col>9</xdr:col>
      <xdr:colOff>9526</xdr:colOff>
      <xdr:row>38</xdr:row>
      <xdr:rowOff>190499</xdr:rowOff>
    </xdr:from>
    <xdr:to>
      <xdr:col>12</xdr:col>
      <xdr:colOff>10646</xdr:colOff>
      <xdr:row>79</xdr:row>
      <xdr:rowOff>170435</xdr:rowOff>
    </xdr:to>
    <xdr:pic>
      <xdr:nvPicPr>
        <xdr:cNvPr id="14" name="Bildobjekt 13">
          <a:extLst>
            <a:ext uri="{FF2B5EF4-FFF2-40B4-BE49-F238E27FC236}">
              <a16:creationId xmlns:a16="http://schemas.microsoft.com/office/drawing/2014/main" id="{3C341873-ECCF-4635-9DC1-DC2C8C32AA8D}"/>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25000"/>
                  </a14:imgEffect>
                  <a14:imgEffect>
                    <a14:colorTemperature colorTemp="5300"/>
                  </a14:imgEffect>
                </a14:imgLayer>
              </a14:imgProps>
            </a:ext>
          </a:extLst>
        </a:blip>
        <a:stretch>
          <a:fillRect/>
        </a:stretch>
      </xdr:blipFill>
      <xdr:spPr>
        <a:xfrm>
          <a:off x="8877301" y="7724774"/>
          <a:ext cx="3506320" cy="77999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51</xdr:col>
      <xdr:colOff>0</xdr:colOff>
      <xdr:row>143</xdr:row>
      <xdr:rowOff>36738</xdr:rowOff>
    </xdr:from>
    <xdr:to>
      <xdr:col>64</xdr:col>
      <xdr:colOff>68035</xdr:colOff>
      <xdr:row>170</xdr:row>
      <xdr:rowOff>95249</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733426</xdr:colOff>
      <xdr:row>79</xdr:row>
      <xdr:rowOff>9525</xdr:rowOff>
    </xdr:from>
    <xdr:to>
      <xdr:col>12</xdr:col>
      <xdr:colOff>571500</xdr:colOff>
      <xdr:row>105</xdr:row>
      <xdr:rowOff>104774</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31749</xdr:colOff>
      <xdr:row>34</xdr:row>
      <xdr:rowOff>137585</xdr:rowOff>
    </xdr:from>
    <xdr:to>
      <xdr:col>29</xdr:col>
      <xdr:colOff>554113</xdr:colOff>
      <xdr:row>70</xdr:row>
      <xdr:rowOff>136224</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0.74712</cdr:x>
      <cdr:y>0.01081</cdr:y>
    </cdr:from>
    <cdr:to>
      <cdr:x>0.9767</cdr:x>
      <cdr:y>0.09292</cdr:y>
    </cdr:to>
    <cdr:sp macro="" textlink="Calc!$A$2">
      <cdr:nvSpPr>
        <cdr:cNvPr id="2" name="textruta 1">
          <a:extLst xmlns:a="http://schemas.openxmlformats.org/drawingml/2006/main">
            <a:ext uri="{FF2B5EF4-FFF2-40B4-BE49-F238E27FC236}">
              <a16:creationId xmlns:a16="http://schemas.microsoft.com/office/drawing/2014/main" id="{ABAC72B7-806D-49E1-934B-8903FE3FA401}"/>
            </a:ext>
          </a:extLst>
        </cdr:cNvPr>
        <cdr:cNvSpPr txBox="1"/>
      </cdr:nvSpPr>
      <cdr:spPr>
        <a:xfrm xmlns:a="http://schemas.openxmlformats.org/drawingml/2006/main">
          <a:off x="3664881" y="46552"/>
          <a:ext cx="1126193" cy="353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7BEAD94-DAB0-4F37-9EE2-EC14CD3242A6}" type="TxLink">
            <a:rPr lang="en-US" sz="1800" b="1" i="0" u="none" strike="noStrike">
              <a:solidFill>
                <a:srgbClr val="000000"/>
              </a:solidFill>
              <a:latin typeface="+mn-lt"/>
              <a:cs typeface="Arial"/>
            </a:rPr>
            <a:pPr/>
            <a:t>AKM22E</a:t>
          </a:fld>
          <a:endParaRPr lang="sv-SE" sz="1800" b="1">
            <a:latin typeface="+mn-lt"/>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0.55833</cdr:x>
      <cdr:y>0.01563</cdr:y>
    </cdr:from>
    <cdr:to>
      <cdr:x>0.7</cdr:x>
      <cdr:y>0.11979</cdr:y>
    </cdr:to>
    <cdr:sp macro="" textlink="">
      <cdr:nvSpPr>
        <cdr:cNvPr id="2" name="textruta 1">
          <a:extLst xmlns:a="http://schemas.openxmlformats.org/drawingml/2006/main">
            <a:ext uri="{FF2B5EF4-FFF2-40B4-BE49-F238E27FC236}">
              <a16:creationId xmlns:a16="http://schemas.microsoft.com/office/drawing/2014/main" id="{0F65693E-F460-4C0C-B933-B46865AD8481}"/>
            </a:ext>
          </a:extLst>
        </cdr:cNvPr>
        <cdr:cNvSpPr txBox="1"/>
      </cdr:nvSpPr>
      <cdr:spPr>
        <a:xfrm xmlns:a="http://schemas.openxmlformats.org/drawingml/2006/main">
          <a:off x="2552700" y="42863"/>
          <a:ext cx="6477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t>and</a:t>
          </a:r>
          <a:endParaRPr lang="sv-SE" sz="1400" b="1"/>
        </a:p>
        <a:p xmlns:a="http://schemas.openxmlformats.org/drawingml/2006/main">
          <a:endParaRPr lang="sv-SE" sz="1100"/>
        </a:p>
      </cdr:txBody>
    </cdr:sp>
  </cdr:relSizeAnchor>
  <cdr:relSizeAnchor xmlns:cdr="http://schemas.openxmlformats.org/drawingml/2006/chartDrawing">
    <cdr:from>
      <cdr:x>0.68542</cdr:x>
      <cdr:y>0.03646</cdr:y>
    </cdr:from>
    <cdr:to>
      <cdr:x>0.88542</cdr:x>
      <cdr:y>0.1441</cdr:y>
    </cdr:to>
    <cdr:sp macro="" textlink="Input!$E$32">
      <cdr:nvSpPr>
        <cdr:cNvPr id="3" name="textruta 2">
          <a:extLst xmlns:a="http://schemas.openxmlformats.org/drawingml/2006/main">
            <a:ext uri="{FF2B5EF4-FFF2-40B4-BE49-F238E27FC236}">
              <a16:creationId xmlns:a16="http://schemas.microsoft.com/office/drawing/2014/main" id="{FB1616BE-3164-43F2-8038-1880AE150E01}"/>
            </a:ext>
          </a:extLst>
        </cdr:cNvPr>
        <cdr:cNvSpPr txBox="1"/>
      </cdr:nvSpPr>
      <cdr:spPr>
        <a:xfrm xmlns:a="http://schemas.openxmlformats.org/drawingml/2006/main">
          <a:off x="3133725" y="100013"/>
          <a:ext cx="9144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B2F2238-BFA3-4920-9250-4B7250EEF27C}" type="TxLink">
            <a:rPr lang="en-US" sz="1400" b="1" i="0" u="none" strike="noStrike">
              <a:solidFill>
                <a:sysClr val="windowText" lastClr="000000"/>
              </a:solidFill>
              <a:latin typeface="Calibri"/>
            </a:rPr>
            <a:pPr/>
            <a:t>AKM22E</a:t>
          </a:fld>
          <a:endParaRPr lang="sv-SE" sz="2000">
            <a:solidFill>
              <a:sysClr val="windowText" lastClr="00000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352425</xdr:colOff>
      <xdr:row>1</xdr:row>
      <xdr:rowOff>114300</xdr:rowOff>
    </xdr:from>
    <xdr:to>
      <xdr:col>11</xdr:col>
      <xdr:colOff>151663</xdr:colOff>
      <xdr:row>20</xdr:row>
      <xdr:rowOff>85276</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62025" y="304800"/>
          <a:ext cx="5895238" cy="3590476"/>
        </a:xfrm>
        <a:prstGeom prst="rect">
          <a:avLst/>
        </a:prstGeom>
      </xdr:spPr>
    </xdr:pic>
    <xdr:clientData/>
  </xdr:twoCellAnchor>
  <xdr:twoCellAnchor editAs="oneCell">
    <xdr:from>
      <xdr:col>1</xdr:col>
      <xdr:colOff>466725</xdr:colOff>
      <xdr:row>22</xdr:row>
      <xdr:rowOff>9525</xdr:rowOff>
    </xdr:from>
    <xdr:to>
      <xdr:col>11</xdr:col>
      <xdr:colOff>113583</xdr:colOff>
      <xdr:row>40</xdr:row>
      <xdr:rowOff>18620</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076325" y="4200525"/>
          <a:ext cx="5742858" cy="3438095"/>
        </a:xfrm>
        <a:prstGeom prst="rect">
          <a:avLst/>
        </a:prstGeom>
      </xdr:spPr>
    </xdr:pic>
    <xdr:clientData/>
  </xdr:twoCellAnchor>
  <xdr:twoCellAnchor editAs="oneCell">
    <xdr:from>
      <xdr:col>24</xdr:col>
      <xdr:colOff>0</xdr:colOff>
      <xdr:row>3</xdr:row>
      <xdr:rowOff>0</xdr:rowOff>
    </xdr:from>
    <xdr:to>
      <xdr:col>33</xdr:col>
      <xdr:colOff>542172</xdr:colOff>
      <xdr:row>41</xdr:row>
      <xdr:rowOff>103858</xdr:rowOff>
    </xdr:to>
    <xdr:pic>
      <xdr:nvPicPr>
        <xdr:cNvPr id="4" name="Bildobjekt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4630400" y="571500"/>
          <a:ext cx="6028572" cy="73428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371475</xdr:colOff>
      <xdr:row>8</xdr:row>
      <xdr:rowOff>152401</xdr:rowOff>
    </xdr:from>
    <xdr:to>
      <xdr:col>22</xdr:col>
      <xdr:colOff>85725</xdr:colOff>
      <xdr:row>47</xdr:row>
      <xdr:rowOff>0</xdr:rowOff>
    </xdr:to>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9</xdr:row>
      <xdr:rowOff>123824</xdr:rowOff>
    </xdr:from>
    <xdr:to>
      <xdr:col>16</xdr:col>
      <xdr:colOff>514350</xdr:colOff>
      <xdr:row>11</xdr:row>
      <xdr:rowOff>123825</xdr:rowOff>
    </xdr:to>
    <xdr:grpSp>
      <xdr:nvGrpSpPr>
        <xdr:cNvPr id="3" name="Grupp 2">
          <a:extLst>
            <a:ext uri="{FF2B5EF4-FFF2-40B4-BE49-F238E27FC236}">
              <a16:creationId xmlns:a16="http://schemas.microsoft.com/office/drawing/2014/main" id="{00000000-0008-0000-1000-000003000000}"/>
            </a:ext>
          </a:extLst>
        </xdr:cNvPr>
        <xdr:cNvGrpSpPr/>
      </xdr:nvGrpSpPr>
      <xdr:grpSpPr>
        <a:xfrm>
          <a:off x="9144000" y="1581149"/>
          <a:ext cx="2314575" cy="323851"/>
          <a:chOff x="8010525" y="1562099"/>
          <a:chExt cx="2314575" cy="323851"/>
        </a:xfrm>
      </xdr:grpSpPr>
      <xdr:sp macro="" textlink="$B$2">
        <xdr:nvSpPr>
          <xdr:cNvPr id="4" name="textruta 3">
            <a:extLst>
              <a:ext uri="{FF2B5EF4-FFF2-40B4-BE49-F238E27FC236}">
                <a16:creationId xmlns:a16="http://schemas.microsoft.com/office/drawing/2014/main" id="{00000000-0008-0000-1000-000004000000}"/>
              </a:ext>
            </a:extLst>
          </xdr:cNvPr>
          <xdr:cNvSpPr txBox="1"/>
        </xdr:nvSpPr>
        <xdr:spPr>
          <a:xfrm>
            <a:off x="8010525" y="1562099"/>
            <a:ext cx="1047749"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5A91141-3530-4ADD-BCBE-CD06E3235F46}" type="TxLink">
              <a:rPr lang="en-US" sz="1800" b="1" i="0" u="none" strike="noStrike">
                <a:solidFill>
                  <a:srgbClr val="000000"/>
                </a:solidFill>
                <a:latin typeface="+mn-lt"/>
                <a:cs typeface="Arial"/>
              </a:rPr>
              <a:pPr/>
              <a:t>AKM22E</a:t>
            </a:fld>
            <a:endParaRPr lang="sv-SE" sz="1800" b="1">
              <a:latin typeface="+mn-lt"/>
            </a:endParaRPr>
          </a:p>
        </xdr:txBody>
      </xdr:sp>
      <xdr:sp macro="" textlink="$D$2">
        <xdr:nvSpPr>
          <xdr:cNvPr id="5" name="textruta 4">
            <a:extLst>
              <a:ext uri="{FF2B5EF4-FFF2-40B4-BE49-F238E27FC236}">
                <a16:creationId xmlns:a16="http://schemas.microsoft.com/office/drawing/2014/main" id="{00000000-0008-0000-1000-000005000000}"/>
              </a:ext>
            </a:extLst>
          </xdr:cNvPr>
          <xdr:cNvSpPr txBox="1"/>
        </xdr:nvSpPr>
        <xdr:spPr>
          <a:xfrm>
            <a:off x="9010650" y="1562099"/>
            <a:ext cx="13144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EB5392-74D7-4EEB-A3C9-0D6918BC764E}" type="TxLink">
              <a:rPr lang="en-US" sz="1800" b="1" i="0" u="none" strike="noStrike">
                <a:solidFill>
                  <a:srgbClr val="000000"/>
                </a:solidFill>
                <a:latin typeface="+mn-lt"/>
                <a:cs typeface="Arial"/>
              </a:rPr>
              <a:pPr/>
              <a:t>(240 VAC)</a:t>
            </a:fld>
            <a:endParaRPr lang="sv-SE" sz="1800" b="1">
              <a:latin typeface="+mn-lt"/>
            </a:endParaRPr>
          </a:p>
        </xdr:txBody>
      </xdr:sp>
    </xdr:grpSp>
    <xdr:clientData/>
  </xdr:twoCellAnchor>
  <xdr:twoCellAnchor>
    <xdr:from>
      <xdr:col>25</xdr:col>
      <xdr:colOff>381000</xdr:colOff>
      <xdr:row>55</xdr:row>
      <xdr:rowOff>114300</xdr:rowOff>
    </xdr:from>
    <xdr:to>
      <xdr:col>36</xdr:col>
      <xdr:colOff>123825</xdr:colOff>
      <xdr:row>81</xdr:row>
      <xdr:rowOff>28575</xdr:rowOff>
    </xdr:to>
    <xdr:graphicFrame macro="">
      <xdr:nvGraphicFramePr>
        <xdr:cNvPr id="6" name="Diagram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daten/0doku/Schulung/AnyDim/AnyD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xander.Schollin/AppData/Local/Microsoft/Windows/Temporary%20Internet%20Files/Content.Outlook/TPL9KQTY/MozyPro_backup/Projects/Kaizen%20-%20xls%20does%20everything/ILA/Industrial%20Actuators%20Pricing%20Jan%202014%20V1.7%20TS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haniel.Smith/AppData/Local/Microsoft/Windows/Temporary%20Internet%20Files/Content.Outlook/ODRCELY2/4%20ASc%20WORK%20FILE_MotorCurves_V1%20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nertia"/>
      <sheetName val="Drives"/>
      <sheetName val="Motor"/>
      <sheetName val="LinMotor"/>
      <sheetName val="Hilfe"/>
      <sheetName val="Help"/>
      <sheetName val="Changes"/>
      <sheetName val="Calc"/>
    </sheetNames>
    <sheetDataSet>
      <sheetData sheetId="0">
        <row r="15">
          <cell r="H15">
            <v>3</v>
          </cell>
        </row>
        <row r="16">
          <cell r="H16">
            <v>6</v>
          </cell>
        </row>
        <row r="23">
          <cell r="E23">
            <v>0</v>
          </cell>
          <cell r="G23">
            <v>0</v>
          </cell>
          <cell r="I23">
            <v>0</v>
          </cell>
          <cell r="L23">
            <v>1</v>
          </cell>
          <cell r="M23">
            <v>0</v>
          </cell>
          <cell r="N23">
            <v>1</v>
          </cell>
          <cell r="O23">
            <v>0</v>
          </cell>
          <cell r="Q23">
            <v>0</v>
          </cell>
        </row>
        <row r="25">
          <cell r="E25">
            <v>0</v>
          </cell>
          <cell r="G25">
            <v>0</v>
          </cell>
          <cell r="I25">
            <v>0</v>
          </cell>
        </row>
        <row r="45">
          <cell r="D45">
            <v>2</v>
          </cell>
        </row>
        <row r="46">
          <cell r="D46">
            <v>1</v>
          </cell>
          <cell r="F46">
            <v>0</v>
          </cell>
          <cell r="H46">
            <v>0</v>
          </cell>
        </row>
        <row r="48">
          <cell r="D48">
            <v>0</v>
          </cell>
          <cell r="F48">
            <v>0</v>
          </cell>
        </row>
        <row r="50">
          <cell r="D50">
            <v>1</v>
          </cell>
          <cell r="H50">
            <v>0</v>
          </cell>
        </row>
        <row r="52">
          <cell r="D52">
            <v>0</v>
          </cell>
        </row>
        <row r="55">
          <cell r="D55">
            <v>1</v>
          </cell>
          <cell r="H55">
            <v>0</v>
          </cell>
        </row>
        <row r="57">
          <cell r="D57">
            <v>0</v>
          </cell>
          <cell r="F57">
            <v>0</v>
          </cell>
        </row>
        <row r="59">
          <cell r="D59">
            <v>1</v>
          </cell>
          <cell r="H59">
            <v>0</v>
          </cell>
        </row>
        <row r="61">
          <cell r="D61">
            <v>0</v>
          </cell>
        </row>
      </sheetData>
      <sheetData sheetId="1"/>
      <sheetData sheetId="2"/>
      <sheetData sheetId="3"/>
      <sheetData sheetId="4"/>
      <sheetData sheetId="5"/>
      <sheetData sheetId="6"/>
      <sheetData sheetId="7"/>
      <sheetData sheetId="8">
        <row r="2">
          <cell r="B2" t="str">
            <v>400</v>
          </cell>
        </row>
        <row r="30">
          <cell r="B30">
            <v>1</v>
          </cell>
        </row>
        <row r="31">
          <cell r="A31" t="b">
            <v>1</v>
          </cell>
        </row>
        <row r="71">
          <cell r="A71" t="b">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ILA"/>
      <sheetName val="Electrak 1 SP"/>
      <sheetName val="Electrak 1 SL"/>
      <sheetName val="Electrak 050"/>
      <sheetName val="Electrak 100 P"/>
      <sheetName val="Electrak 150 DF"/>
      <sheetName val="PPA DC"/>
      <sheetName val="PPA AC"/>
      <sheetName val="Manual PPA"/>
      <sheetName val="Electrak 2 D"/>
      <sheetName val="Electrak 10 D"/>
      <sheetName val="Electrak 5"/>
      <sheetName val="Electrak 205"/>
      <sheetName val="Marine E2 and E10"/>
      <sheetName val="MaxJac"/>
      <sheetName val="WhisperTrak"/>
      <sheetName val="Pro-Throttle"/>
      <sheetName val="Electrak Pro"/>
      <sheetName val="Throttle"/>
      <sheetName val="Option Adders"/>
      <sheetName val="Oracle Price List"/>
      <sheetName val="Ver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iagram"/>
      <sheetName val="Motor"/>
      <sheetName val="Calc"/>
      <sheetName val="Calc2"/>
      <sheetName val="PC40 kurvor"/>
      <sheetName val="PC40 Graphs"/>
      <sheetName val="PC32 Graphs"/>
      <sheetName val="PC25 Graphs"/>
      <sheetName val="Blad2"/>
      <sheetName val="Blad1"/>
    </sheetNames>
    <sheetDataSet>
      <sheetData sheetId="0" refreshError="1"/>
      <sheetData sheetId="1" refreshError="1"/>
      <sheetData sheetId="2">
        <row r="9">
          <cell r="A9" t="str">
            <v>6SM27M-4000</v>
          </cell>
          <cell r="B9">
            <v>1.2</v>
          </cell>
          <cell r="C9">
            <v>3.5</v>
          </cell>
          <cell r="D9">
            <v>0.32</v>
          </cell>
          <cell r="E9">
            <v>0.8</v>
          </cell>
          <cell r="L9">
            <v>0.3</v>
          </cell>
          <cell r="M9">
            <v>4000</v>
          </cell>
          <cell r="P9">
            <v>9000</v>
          </cell>
          <cell r="Q9">
            <v>0.08</v>
          </cell>
          <cell r="R9">
            <v>31</v>
          </cell>
          <cell r="S9">
            <v>21</v>
          </cell>
          <cell r="T9">
            <v>25</v>
          </cell>
          <cell r="U9">
            <v>6</v>
          </cell>
        </row>
        <row r="10">
          <cell r="A10" t="str">
            <v>6SM27LL-4500</v>
          </cell>
          <cell r="B10">
            <v>3.2</v>
          </cell>
          <cell r="C10">
            <v>3.7</v>
          </cell>
          <cell r="D10">
            <v>0.8</v>
          </cell>
          <cell r="E10">
            <v>0.82</v>
          </cell>
          <cell r="L10">
            <v>0.72</v>
          </cell>
          <cell r="M10">
            <v>4500</v>
          </cell>
          <cell r="P10">
            <v>9000</v>
          </cell>
          <cell r="Q10">
            <v>0.14000000000000001</v>
          </cell>
          <cell r="R10">
            <v>37</v>
          </cell>
          <cell r="S10">
            <v>42</v>
          </cell>
          <cell r="T10">
            <v>59</v>
          </cell>
          <cell r="U10">
            <v>6</v>
          </cell>
        </row>
        <row r="11">
          <cell r="A11" t="str">
            <v>6SM37S-6000</v>
          </cell>
          <cell r="B11">
            <v>1.8</v>
          </cell>
          <cell r="C11">
            <v>4</v>
          </cell>
          <cell r="D11">
            <v>0.5</v>
          </cell>
          <cell r="E11">
            <v>1</v>
          </cell>
          <cell r="L11">
            <v>0.4</v>
          </cell>
          <cell r="M11">
            <v>6000</v>
          </cell>
          <cell r="P11">
            <v>9000</v>
          </cell>
          <cell r="Q11">
            <v>0.45</v>
          </cell>
          <cell r="R11">
            <v>36</v>
          </cell>
          <cell r="S11">
            <v>32</v>
          </cell>
          <cell r="T11">
            <v>30</v>
          </cell>
          <cell r="U11">
            <v>6</v>
          </cell>
        </row>
        <row r="12">
          <cell r="A12" t="str">
            <v>6SM37M-6000</v>
          </cell>
          <cell r="B12">
            <v>3.6</v>
          </cell>
          <cell r="C12">
            <v>6.5</v>
          </cell>
          <cell r="D12">
            <v>1</v>
          </cell>
          <cell r="E12">
            <v>1.6</v>
          </cell>
          <cell r="L12">
            <v>0.8</v>
          </cell>
          <cell r="M12">
            <v>6000</v>
          </cell>
          <cell r="P12">
            <v>9000</v>
          </cell>
          <cell r="Q12">
            <v>0.7</v>
          </cell>
          <cell r="R12">
            <v>12.8</v>
          </cell>
          <cell r="S12">
            <v>21</v>
          </cell>
          <cell r="T12">
            <v>38</v>
          </cell>
          <cell r="U12">
            <v>6</v>
          </cell>
        </row>
        <row r="13">
          <cell r="A13" t="str">
            <v>6SM37L-4000</v>
          </cell>
          <cell r="B13">
            <v>5.4</v>
          </cell>
          <cell r="C13">
            <v>6.4</v>
          </cell>
          <cell r="D13">
            <v>1.5</v>
          </cell>
          <cell r="E13">
            <v>1.6</v>
          </cell>
          <cell r="L13">
            <v>1.2</v>
          </cell>
          <cell r="M13">
            <v>4000</v>
          </cell>
          <cell r="P13">
            <v>9000</v>
          </cell>
          <cell r="Q13">
            <v>1</v>
          </cell>
          <cell r="R13">
            <v>15.5</v>
          </cell>
          <cell r="S13">
            <v>30</v>
          </cell>
          <cell r="T13">
            <v>58</v>
          </cell>
          <cell r="U13">
            <v>6</v>
          </cell>
        </row>
        <row r="14">
          <cell r="A14" t="str">
            <v>6SM37VL-6000</v>
          </cell>
          <cell r="B14">
            <v>10.8</v>
          </cell>
          <cell r="C14">
            <v>15.2</v>
          </cell>
          <cell r="D14">
            <v>3</v>
          </cell>
          <cell r="E14">
            <v>3.8</v>
          </cell>
          <cell r="L14">
            <v>2</v>
          </cell>
          <cell r="M14">
            <v>6000</v>
          </cell>
          <cell r="P14">
            <v>9000</v>
          </cell>
          <cell r="Q14">
            <v>1.6</v>
          </cell>
          <cell r="R14">
            <v>3.65</v>
          </cell>
          <cell r="S14">
            <v>8</v>
          </cell>
          <cell r="T14">
            <v>48</v>
          </cell>
          <cell r="U14">
            <v>6</v>
          </cell>
        </row>
        <row r="15">
          <cell r="A15" t="str">
            <v>6SM47L-3000</v>
          </cell>
          <cell r="B15">
            <v>10.6</v>
          </cell>
          <cell r="C15">
            <v>9</v>
          </cell>
          <cell r="D15">
            <v>3</v>
          </cell>
          <cell r="E15">
            <v>2.2999999999999998</v>
          </cell>
          <cell r="L15">
            <v>2.2000000000000002</v>
          </cell>
          <cell r="M15">
            <v>3000</v>
          </cell>
          <cell r="P15">
            <v>6000</v>
          </cell>
          <cell r="Q15">
            <v>1.6</v>
          </cell>
          <cell r="R15">
            <v>11</v>
          </cell>
          <cell r="S15">
            <v>25</v>
          </cell>
          <cell r="T15">
            <v>81</v>
          </cell>
          <cell r="U15">
            <v>6</v>
          </cell>
        </row>
        <row r="16">
          <cell r="A16" t="str">
            <v>6SM57S-3000</v>
          </cell>
          <cell r="B16">
            <v>16.3</v>
          </cell>
          <cell r="C16">
            <v>11</v>
          </cell>
          <cell r="D16">
            <v>4.5999999999999996</v>
          </cell>
          <cell r="E16">
            <v>2.8</v>
          </cell>
          <cell r="L16">
            <v>3</v>
          </cell>
          <cell r="M16">
            <v>3000</v>
          </cell>
          <cell r="P16">
            <v>6000</v>
          </cell>
          <cell r="Q16">
            <v>3.1</v>
          </cell>
          <cell r="R16">
            <v>6.3</v>
          </cell>
          <cell r="S16">
            <v>35</v>
          </cell>
          <cell r="T16">
            <v>97</v>
          </cell>
          <cell r="U16">
            <v>6</v>
          </cell>
        </row>
        <row r="17">
          <cell r="A17" t="str">
            <v>6SM57M-3000</v>
          </cell>
          <cell r="B17">
            <v>28.5</v>
          </cell>
          <cell r="C17">
            <v>17</v>
          </cell>
          <cell r="D17">
            <v>8</v>
          </cell>
          <cell r="E17">
            <v>4.3</v>
          </cell>
          <cell r="L17">
            <v>6</v>
          </cell>
          <cell r="M17">
            <v>3000</v>
          </cell>
          <cell r="P17">
            <v>6000</v>
          </cell>
          <cell r="Q17">
            <v>4.5</v>
          </cell>
          <cell r="R17">
            <v>3.9</v>
          </cell>
          <cell r="S17">
            <v>24</v>
          </cell>
          <cell r="T17">
            <v>112</v>
          </cell>
          <cell r="U17">
            <v>6</v>
          </cell>
        </row>
        <row r="18">
          <cell r="A18" t="str">
            <v>6SM77K-3000</v>
          </cell>
          <cell r="B18">
            <v>39.6</v>
          </cell>
          <cell r="C18">
            <v>24</v>
          </cell>
          <cell r="D18">
            <v>11</v>
          </cell>
          <cell r="E18">
            <v>6</v>
          </cell>
          <cell r="L18">
            <v>8.5</v>
          </cell>
          <cell r="M18">
            <v>3000</v>
          </cell>
          <cell r="P18">
            <v>6000</v>
          </cell>
          <cell r="Q18">
            <v>12</v>
          </cell>
          <cell r="R18">
            <v>2.2000000000000002</v>
          </cell>
          <cell r="S18">
            <v>18</v>
          </cell>
          <cell r="T18">
            <v>112</v>
          </cell>
          <cell r="U18">
            <v>6</v>
          </cell>
        </row>
        <row r="19">
          <cell r="A19" t="str">
            <v>6SM77S-3000</v>
          </cell>
          <cell r="B19">
            <v>61.2</v>
          </cell>
          <cell r="C19">
            <v>40</v>
          </cell>
          <cell r="D19">
            <v>17</v>
          </cell>
          <cell r="E19">
            <v>10</v>
          </cell>
          <cell r="L19">
            <v>12</v>
          </cell>
          <cell r="M19">
            <v>3000</v>
          </cell>
          <cell r="P19">
            <v>6000</v>
          </cell>
          <cell r="Q19">
            <v>18</v>
          </cell>
          <cell r="R19">
            <v>1.1000000000000001</v>
          </cell>
          <cell r="S19">
            <v>8.3000000000000007</v>
          </cell>
          <cell r="T19">
            <v>103</v>
          </cell>
          <cell r="U19">
            <v>6</v>
          </cell>
        </row>
        <row r="20">
          <cell r="A20" t="str">
            <v>6SM107K-3000</v>
          </cell>
          <cell r="B20">
            <v>100.2</v>
          </cell>
          <cell r="C20">
            <v>70</v>
          </cell>
          <cell r="D20">
            <v>26</v>
          </cell>
          <cell r="E20">
            <v>16</v>
          </cell>
          <cell r="L20">
            <v>20</v>
          </cell>
          <cell r="M20">
            <v>3000</v>
          </cell>
          <cell r="P20">
            <v>6000</v>
          </cell>
          <cell r="Q20">
            <v>82</v>
          </cell>
          <cell r="R20">
            <v>0.45</v>
          </cell>
          <cell r="S20">
            <v>4.4000000000000004</v>
          </cell>
          <cell r="T20">
            <v>97</v>
          </cell>
          <cell r="U20">
            <v>6</v>
          </cell>
        </row>
        <row r="21">
          <cell r="A21" t="str">
            <v>6SM107S-3000</v>
          </cell>
          <cell r="B21">
            <v>120.7</v>
          </cell>
          <cell r="C21">
            <v>85</v>
          </cell>
          <cell r="D21">
            <v>32</v>
          </cell>
          <cell r="E21">
            <v>20</v>
          </cell>
          <cell r="L21">
            <v>23</v>
          </cell>
          <cell r="M21">
            <v>3000</v>
          </cell>
          <cell r="P21">
            <v>6000</v>
          </cell>
          <cell r="Q21">
            <v>104</v>
          </cell>
          <cell r="R21">
            <v>0.37</v>
          </cell>
          <cell r="S21">
            <v>3.6</v>
          </cell>
          <cell r="T21">
            <v>97</v>
          </cell>
          <cell r="U21">
            <v>6</v>
          </cell>
        </row>
        <row r="22">
          <cell r="A22" t="str">
            <v>6SM45S-3000</v>
          </cell>
          <cell r="B22">
            <v>2.8</v>
          </cell>
          <cell r="C22">
            <v>4.7</v>
          </cell>
          <cell r="D22">
            <v>0.85</v>
          </cell>
          <cell r="E22">
            <v>1.3</v>
          </cell>
          <cell r="L22">
            <v>0.8</v>
          </cell>
          <cell r="M22">
            <v>3000</v>
          </cell>
          <cell r="P22">
            <v>8000</v>
          </cell>
          <cell r="Q22">
            <v>1.5</v>
          </cell>
          <cell r="R22">
            <v>25.4</v>
          </cell>
          <cell r="S22">
            <v>54</v>
          </cell>
          <cell r="T22">
            <v>41.012193308819754</v>
          </cell>
          <cell r="U22">
            <v>6</v>
          </cell>
        </row>
        <row r="23">
          <cell r="A23" t="str">
            <v>6SM45M-3000</v>
          </cell>
          <cell r="B23">
            <v>6.5</v>
          </cell>
          <cell r="C23">
            <v>5.6</v>
          </cell>
          <cell r="D23">
            <v>1.7</v>
          </cell>
          <cell r="E23">
            <v>1.3</v>
          </cell>
          <cell r="L23">
            <v>1.6</v>
          </cell>
          <cell r="M23">
            <v>3000</v>
          </cell>
          <cell r="P23">
            <v>8000</v>
          </cell>
          <cell r="Q23">
            <v>2.1</v>
          </cell>
          <cell r="R23">
            <v>34</v>
          </cell>
          <cell r="S23">
            <v>99</v>
          </cell>
          <cell r="T23">
            <v>82.024386617639507</v>
          </cell>
          <cell r="U23">
            <v>6</v>
          </cell>
        </row>
        <row r="24">
          <cell r="A24" t="str">
            <v>6SM45L-3000</v>
          </cell>
          <cell r="B24">
            <v>11.5</v>
          </cell>
          <cell r="C24">
            <v>9.6</v>
          </cell>
          <cell r="D24">
            <v>3.2</v>
          </cell>
          <cell r="E24">
            <v>2.4</v>
          </cell>
          <cell r="L24">
            <v>2.9</v>
          </cell>
          <cell r="M24">
            <v>3000</v>
          </cell>
          <cell r="P24">
            <v>8000</v>
          </cell>
          <cell r="Q24">
            <v>3.4</v>
          </cell>
          <cell r="R24">
            <v>11.9</v>
          </cell>
          <cell r="S24">
            <v>47</v>
          </cell>
          <cell r="T24">
            <v>82.024386617639507</v>
          </cell>
          <cell r="U24">
            <v>6</v>
          </cell>
        </row>
        <row r="25">
          <cell r="A25" t="str">
            <v>6SM56S-3000</v>
          </cell>
          <cell r="B25">
            <v>14.8</v>
          </cell>
          <cell r="C25">
            <v>12.4</v>
          </cell>
          <cell r="D25">
            <v>3.8</v>
          </cell>
          <cell r="E25">
            <v>2.8</v>
          </cell>
          <cell r="L25">
            <v>3.6</v>
          </cell>
          <cell r="M25">
            <v>3000</v>
          </cell>
          <cell r="P25">
            <v>8000</v>
          </cell>
          <cell r="Q25">
            <v>5.2</v>
          </cell>
          <cell r="R25">
            <v>9.4</v>
          </cell>
          <cell r="S25">
            <v>54</v>
          </cell>
          <cell r="T25">
            <v>80.610173055266415</v>
          </cell>
          <cell r="U25">
            <v>6</v>
          </cell>
        </row>
        <row r="26">
          <cell r="A26" t="str">
            <v>6SM56M-3000</v>
          </cell>
          <cell r="B26">
            <v>25.6</v>
          </cell>
          <cell r="C26">
            <v>19.600000000000001</v>
          </cell>
          <cell r="D26">
            <v>7</v>
          </cell>
          <cell r="E26">
            <v>4.8</v>
          </cell>
          <cell r="L26">
            <v>6.4</v>
          </cell>
          <cell r="M26">
            <v>3000</v>
          </cell>
          <cell r="P26">
            <v>8000</v>
          </cell>
          <cell r="Q26">
            <v>10</v>
          </cell>
          <cell r="R26">
            <v>4</v>
          </cell>
          <cell r="S26">
            <v>30</v>
          </cell>
          <cell r="T26">
            <v>87.681240867131891</v>
          </cell>
          <cell r="U26">
            <v>6</v>
          </cell>
        </row>
        <row r="27">
          <cell r="A27" t="str">
            <v>6SM56L-3000</v>
          </cell>
          <cell r="B27">
            <v>34</v>
          </cell>
          <cell r="C27">
            <v>28.3</v>
          </cell>
          <cell r="D27">
            <v>10</v>
          </cell>
          <cell r="E27">
            <v>7.6</v>
          </cell>
          <cell r="L27">
            <v>8.4</v>
          </cell>
          <cell r="M27">
            <v>3000</v>
          </cell>
          <cell r="P27">
            <v>8000</v>
          </cell>
          <cell r="Q27">
            <v>15</v>
          </cell>
          <cell r="R27">
            <v>1.8</v>
          </cell>
          <cell r="S27">
            <v>15.8</v>
          </cell>
          <cell r="T27">
            <v>79.903066274079862</v>
          </cell>
          <cell r="U27">
            <v>6</v>
          </cell>
        </row>
        <row r="28">
          <cell r="A28" t="str">
            <v>6SM71K-3000</v>
          </cell>
          <cell r="B28">
            <v>37.799999999999997</v>
          </cell>
          <cell r="C28">
            <v>32</v>
          </cell>
          <cell r="D28">
            <v>10.5</v>
          </cell>
          <cell r="E28">
            <v>8</v>
          </cell>
          <cell r="L28">
            <v>9.5</v>
          </cell>
          <cell r="M28">
            <v>3000</v>
          </cell>
          <cell r="P28">
            <v>6000</v>
          </cell>
          <cell r="Q28">
            <v>20</v>
          </cell>
          <cell r="R28">
            <v>1.65</v>
          </cell>
          <cell r="S28">
            <v>19.600000000000001</v>
          </cell>
          <cell r="T28">
            <v>79.195959492893323</v>
          </cell>
          <cell r="U28">
            <v>6</v>
          </cell>
        </row>
        <row r="29">
          <cell r="A29" t="str">
            <v>6SM71S-3000</v>
          </cell>
          <cell r="B29">
            <v>54.4</v>
          </cell>
          <cell r="C29">
            <v>44</v>
          </cell>
          <cell r="D29">
            <v>16.5</v>
          </cell>
          <cell r="E29">
            <v>12.3</v>
          </cell>
          <cell r="L29">
            <v>13.4</v>
          </cell>
          <cell r="M29">
            <v>3000</v>
          </cell>
          <cell r="P29">
            <v>6000</v>
          </cell>
          <cell r="Q29">
            <v>31</v>
          </cell>
          <cell r="R29">
            <v>0.8</v>
          </cell>
          <cell r="S29">
            <v>12</v>
          </cell>
          <cell r="T29">
            <v>81.317279836452954</v>
          </cell>
          <cell r="U29">
            <v>6</v>
          </cell>
        </row>
        <row r="30">
          <cell r="A30" t="str">
            <v>6SM71M-3000</v>
          </cell>
          <cell r="B30">
            <v>67.400000000000006</v>
          </cell>
          <cell r="C30">
            <v>51</v>
          </cell>
          <cell r="D30">
            <v>22</v>
          </cell>
          <cell r="E30">
            <v>15.6</v>
          </cell>
          <cell r="L30">
            <v>16.3</v>
          </cell>
          <cell r="M30">
            <v>3000</v>
          </cell>
          <cell r="P30">
            <v>6000</v>
          </cell>
          <cell r="Q30">
            <v>42</v>
          </cell>
          <cell r="R30">
            <v>0.56999999999999995</v>
          </cell>
          <cell r="S30">
            <v>9</v>
          </cell>
          <cell r="T30">
            <v>85.559920523572245</v>
          </cell>
          <cell r="U30">
            <v>6</v>
          </cell>
        </row>
        <row r="31">
          <cell r="A31" t="str">
            <v>6SM100K-3000</v>
          </cell>
          <cell r="B31">
            <v>87</v>
          </cell>
          <cell r="C31">
            <v>72</v>
          </cell>
          <cell r="D31">
            <v>25</v>
          </cell>
          <cell r="E31">
            <v>18.8</v>
          </cell>
          <cell r="L31">
            <v>19.899999999999999</v>
          </cell>
          <cell r="M31">
            <v>3000</v>
          </cell>
          <cell r="P31">
            <v>6000</v>
          </cell>
          <cell r="Q31">
            <v>74</v>
          </cell>
          <cell r="R31">
            <v>0.46</v>
          </cell>
          <cell r="S31">
            <v>10.5</v>
          </cell>
          <cell r="T31">
            <v>80.610173055266415</v>
          </cell>
          <cell r="U31">
            <v>6</v>
          </cell>
        </row>
        <row r="32">
          <cell r="A32" t="str">
            <v>6SM100S-3000</v>
          </cell>
          <cell r="B32">
            <v>135.4</v>
          </cell>
          <cell r="C32">
            <v>113</v>
          </cell>
          <cell r="D32">
            <v>36</v>
          </cell>
          <cell r="E32">
            <v>26.7</v>
          </cell>
          <cell r="L32">
            <v>24.6</v>
          </cell>
          <cell r="M32">
            <v>3000</v>
          </cell>
          <cell r="P32">
            <v>6000</v>
          </cell>
          <cell r="Q32">
            <v>108</v>
          </cell>
          <cell r="R32">
            <v>0.22</v>
          </cell>
          <cell r="S32">
            <v>7</v>
          </cell>
          <cell r="T32">
            <v>82.024386617639507</v>
          </cell>
          <cell r="U32">
            <v>6</v>
          </cell>
        </row>
        <row r="33">
          <cell r="A33" t="str">
            <v>6SM100M-3000</v>
          </cell>
          <cell r="B33">
            <v>174.6</v>
          </cell>
          <cell r="C33">
            <v>150</v>
          </cell>
          <cell r="D33">
            <v>46</v>
          </cell>
          <cell r="E33">
            <v>35</v>
          </cell>
          <cell r="L33">
            <v>27.1</v>
          </cell>
          <cell r="M33">
            <v>3000</v>
          </cell>
          <cell r="P33">
            <v>6000</v>
          </cell>
          <cell r="Q33">
            <v>141</v>
          </cell>
          <cell r="R33">
            <v>0.16</v>
          </cell>
          <cell r="S33">
            <v>5</v>
          </cell>
          <cell r="T33">
            <v>79.903066274079862</v>
          </cell>
          <cell r="U33">
            <v>6</v>
          </cell>
        </row>
        <row r="34">
          <cell r="A34" t="str">
            <v>6SM100L-3000</v>
          </cell>
          <cell r="B34">
            <v>216.4</v>
          </cell>
          <cell r="C34">
            <v>180</v>
          </cell>
          <cell r="D34">
            <v>57</v>
          </cell>
          <cell r="E34">
            <v>42</v>
          </cell>
          <cell r="L34">
            <v>28</v>
          </cell>
          <cell r="M34">
            <v>3000</v>
          </cell>
          <cell r="P34">
            <v>6000</v>
          </cell>
          <cell r="Q34">
            <v>175</v>
          </cell>
          <cell r="R34">
            <v>0.12</v>
          </cell>
          <cell r="S34">
            <v>4</v>
          </cell>
          <cell r="T34">
            <v>81.317279836452954</v>
          </cell>
          <cell r="U34">
            <v>6</v>
          </cell>
        </row>
        <row r="35">
          <cell r="A35" t="str">
            <v>AKM11B</v>
          </cell>
          <cell r="B35">
            <v>0.61</v>
          </cell>
          <cell r="C35">
            <v>4.5999999999999996</v>
          </cell>
          <cell r="D35">
            <v>0.18</v>
          </cell>
          <cell r="E35">
            <v>1.1599999999999999</v>
          </cell>
          <cell r="H35">
            <v>0.18</v>
          </cell>
          <cell r="I35">
            <v>4000</v>
          </cell>
          <cell r="J35">
            <v>0.17</v>
          </cell>
          <cell r="K35">
            <v>8000</v>
          </cell>
          <cell r="P35">
            <v>8000</v>
          </cell>
          <cell r="Q35">
            <v>1.6999999999999998E-2</v>
          </cell>
          <cell r="R35">
            <v>20.2</v>
          </cell>
          <cell r="S35">
            <v>12.5</v>
          </cell>
          <cell r="T35">
            <v>10.199999999999999</v>
          </cell>
          <cell r="U35">
            <v>6</v>
          </cell>
        </row>
        <row r="36">
          <cell r="A36" t="str">
            <v>AKM11C</v>
          </cell>
          <cell r="B36">
            <v>0.61</v>
          </cell>
          <cell r="C36">
            <v>5.8</v>
          </cell>
          <cell r="D36">
            <v>0.19</v>
          </cell>
          <cell r="E36">
            <v>1.45</v>
          </cell>
          <cell r="H36">
            <v>0.18</v>
          </cell>
          <cell r="I36">
            <v>6000</v>
          </cell>
          <cell r="P36">
            <v>8000</v>
          </cell>
          <cell r="Q36">
            <v>1.6999999999999998E-2</v>
          </cell>
          <cell r="R36">
            <v>13.1</v>
          </cell>
          <cell r="S36">
            <v>8.3000000000000007</v>
          </cell>
          <cell r="T36">
            <v>8.3000000000000007</v>
          </cell>
          <cell r="U36">
            <v>6</v>
          </cell>
        </row>
        <row r="37">
          <cell r="A37" t="str">
            <v>AKM11E</v>
          </cell>
          <cell r="B37">
            <v>0.61</v>
          </cell>
          <cell r="C37">
            <v>11.6</v>
          </cell>
          <cell r="D37">
            <v>0.19</v>
          </cell>
          <cell r="E37">
            <v>2.91</v>
          </cell>
          <cell r="F37">
            <v>0.18</v>
          </cell>
          <cell r="G37">
            <v>6000</v>
          </cell>
          <cell r="P37">
            <v>8000</v>
          </cell>
          <cell r="Q37">
            <v>1.6999999999999998E-2</v>
          </cell>
          <cell r="R37">
            <v>3.3</v>
          </cell>
          <cell r="S37">
            <v>2.04</v>
          </cell>
          <cell r="T37">
            <v>4.0999999999999996</v>
          </cell>
          <cell r="U37">
            <v>6</v>
          </cell>
        </row>
        <row r="38">
          <cell r="A38" t="str">
            <v>AKM12C</v>
          </cell>
          <cell r="B38">
            <v>1.08</v>
          </cell>
          <cell r="C38">
            <v>6</v>
          </cell>
          <cell r="D38">
            <v>0.31</v>
          </cell>
          <cell r="E38">
            <v>1.5</v>
          </cell>
          <cell r="H38">
            <v>0.3</v>
          </cell>
          <cell r="I38">
            <v>4000</v>
          </cell>
          <cell r="J38">
            <v>0.28000000000000003</v>
          </cell>
          <cell r="K38">
            <v>8000</v>
          </cell>
          <cell r="P38">
            <v>8000</v>
          </cell>
          <cell r="Q38">
            <v>3.1E-2</v>
          </cell>
          <cell r="R38">
            <v>12.4</v>
          </cell>
          <cell r="S38">
            <v>9.1</v>
          </cell>
          <cell r="T38">
            <v>13.3</v>
          </cell>
          <cell r="U38">
            <v>6</v>
          </cell>
        </row>
        <row r="39">
          <cell r="A39" t="str">
            <v>AKM12E</v>
          </cell>
          <cell r="B39">
            <v>1.08</v>
          </cell>
          <cell r="C39">
            <v>10.9</v>
          </cell>
          <cell r="D39">
            <v>0.3</v>
          </cell>
          <cell r="E39">
            <v>2.72</v>
          </cell>
          <cell r="F39">
            <v>0.3</v>
          </cell>
          <cell r="G39">
            <v>3000</v>
          </cell>
          <cell r="H39">
            <v>0.27</v>
          </cell>
          <cell r="I39">
            <v>8000</v>
          </cell>
          <cell r="P39">
            <v>8000</v>
          </cell>
          <cell r="Q39">
            <v>3.1E-2</v>
          </cell>
          <cell r="R39">
            <v>3.9</v>
          </cell>
          <cell r="S39">
            <v>2.7</v>
          </cell>
          <cell r="T39">
            <v>7.2</v>
          </cell>
          <cell r="U39">
            <v>6</v>
          </cell>
        </row>
        <row r="40">
          <cell r="A40" t="str">
            <v>AKM13C</v>
          </cell>
          <cell r="B40">
            <v>1.1599999999999999</v>
          </cell>
          <cell r="C40">
            <v>5.9</v>
          </cell>
          <cell r="D40">
            <v>0.41</v>
          </cell>
          <cell r="E40">
            <v>1.48</v>
          </cell>
          <cell r="J40">
            <v>0.36</v>
          </cell>
          <cell r="K40">
            <v>8000</v>
          </cell>
          <cell r="P40">
            <v>8000</v>
          </cell>
          <cell r="Q40">
            <v>4.4999999999999998E-2</v>
          </cell>
          <cell r="R40">
            <v>13.5</v>
          </cell>
          <cell r="S40">
            <v>10.3</v>
          </cell>
          <cell r="T40">
            <v>17.899999999999999</v>
          </cell>
          <cell r="U40">
            <v>6</v>
          </cell>
        </row>
        <row r="41">
          <cell r="A41" t="str">
            <v>AKM13D</v>
          </cell>
          <cell r="B41">
            <v>1.44</v>
          </cell>
          <cell r="C41">
            <v>9.6</v>
          </cell>
          <cell r="D41">
            <v>0.4</v>
          </cell>
          <cell r="E41">
            <v>2.4</v>
          </cell>
          <cell r="F41">
            <v>0.4</v>
          </cell>
          <cell r="G41">
            <v>2000</v>
          </cell>
          <cell r="H41">
            <v>0.36</v>
          </cell>
          <cell r="I41">
            <v>7000</v>
          </cell>
          <cell r="P41">
            <v>8000</v>
          </cell>
          <cell r="Q41">
            <v>4.4999999999999998E-2</v>
          </cell>
          <cell r="R41">
            <v>5.21</v>
          </cell>
          <cell r="S41">
            <v>3.8</v>
          </cell>
          <cell r="T41">
            <v>10.9</v>
          </cell>
          <cell r="U41">
            <v>6</v>
          </cell>
        </row>
        <row r="42">
          <cell r="A42" t="str">
            <v>AKM21C</v>
          </cell>
          <cell r="B42">
            <v>1.47</v>
          </cell>
          <cell r="C42">
            <v>6.3</v>
          </cell>
          <cell r="D42">
            <v>0.45</v>
          </cell>
          <cell r="E42">
            <v>1.5</v>
          </cell>
          <cell r="H42">
            <v>0.45</v>
          </cell>
          <cell r="I42">
            <v>2500</v>
          </cell>
          <cell r="J42">
            <v>0.39</v>
          </cell>
          <cell r="K42">
            <v>8000</v>
          </cell>
          <cell r="P42">
            <v>8000</v>
          </cell>
          <cell r="Q42">
            <v>0.107</v>
          </cell>
          <cell r="R42">
            <v>13</v>
          </cell>
          <cell r="S42">
            <v>19</v>
          </cell>
          <cell r="T42">
            <v>19.5</v>
          </cell>
          <cell r="U42">
            <v>6</v>
          </cell>
        </row>
        <row r="43">
          <cell r="A43" t="str">
            <v>AKM21E</v>
          </cell>
          <cell r="B43">
            <v>1.49</v>
          </cell>
          <cell r="C43">
            <v>12.4</v>
          </cell>
          <cell r="D43">
            <v>0.48</v>
          </cell>
          <cell r="E43">
            <v>3</v>
          </cell>
          <cell r="F43">
            <v>0.48</v>
          </cell>
          <cell r="G43">
            <v>2000</v>
          </cell>
          <cell r="H43">
            <v>0.41</v>
          </cell>
          <cell r="I43">
            <v>7000</v>
          </cell>
          <cell r="P43">
            <v>8000</v>
          </cell>
          <cell r="Q43">
            <v>0.107</v>
          </cell>
          <cell r="R43">
            <v>3.42</v>
          </cell>
          <cell r="S43">
            <v>5.2</v>
          </cell>
          <cell r="T43">
            <v>10.199999999999999</v>
          </cell>
          <cell r="U43">
            <v>6</v>
          </cell>
        </row>
        <row r="44">
          <cell r="A44" t="str">
            <v>AKM21G</v>
          </cell>
          <cell r="B44">
            <v>1.51</v>
          </cell>
          <cell r="C44">
            <v>19.5</v>
          </cell>
          <cell r="D44">
            <v>0.5</v>
          </cell>
          <cell r="E44">
            <v>4.87</v>
          </cell>
          <cell r="F44">
            <v>0.46</v>
          </cell>
          <cell r="G44">
            <v>4000</v>
          </cell>
          <cell r="P44">
            <v>8000</v>
          </cell>
          <cell r="Q44">
            <v>0.107</v>
          </cell>
          <cell r="R44">
            <v>1.44</v>
          </cell>
          <cell r="S44">
            <v>2.1800000000000002</v>
          </cell>
          <cell r="T44">
            <v>6.6</v>
          </cell>
          <cell r="U44">
            <v>6</v>
          </cell>
        </row>
        <row r="45">
          <cell r="A45" t="str">
            <v>AKM22C</v>
          </cell>
          <cell r="B45">
            <v>2.73</v>
          </cell>
          <cell r="C45">
            <v>5.6</v>
          </cell>
          <cell r="D45">
            <v>0.84</v>
          </cell>
          <cell r="E45">
            <v>1.39</v>
          </cell>
          <cell r="H45">
            <v>0.83</v>
          </cell>
          <cell r="I45">
            <v>1000</v>
          </cell>
          <cell r="J45">
            <v>0.78</v>
          </cell>
          <cell r="K45">
            <v>3500</v>
          </cell>
          <cell r="L45">
            <v>0.68</v>
          </cell>
          <cell r="M45">
            <v>8000</v>
          </cell>
          <cell r="N45">
            <v>0.68</v>
          </cell>
          <cell r="O45">
            <v>8000</v>
          </cell>
          <cell r="P45">
            <v>8000</v>
          </cell>
          <cell r="Q45">
            <v>0.161</v>
          </cell>
          <cell r="R45">
            <v>19.399999999999999</v>
          </cell>
          <cell r="S45">
            <v>35.5</v>
          </cell>
          <cell r="T45">
            <v>39</v>
          </cell>
          <cell r="U45">
            <v>6</v>
          </cell>
        </row>
        <row r="46">
          <cell r="A46" t="str">
            <v>AKM22E</v>
          </cell>
          <cell r="B46">
            <v>2.76</v>
          </cell>
          <cell r="C46">
            <v>11</v>
          </cell>
          <cell r="D46">
            <v>0.87</v>
          </cell>
          <cell r="E46">
            <v>2.73</v>
          </cell>
          <cell r="F46">
            <v>0.85</v>
          </cell>
          <cell r="G46">
            <v>1000</v>
          </cell>
          <cell r="H46">
            <v>0.81</v>
          </cell>
          <cell r="I46">
            <v>3500</v>
          </cell>
          <cell r="J46">
            <v>0.7</v>
          </cell>
          <cell r="K46">
            <v>8000</v>
          </cell>
          <cell r="P46">
            <v>8000</v>
          </cell>
          <cell r="Q46">
            <v>0.161</v>
          </cell>
          <cell r="R46">
            <v>5.09</v>
          </cell>
          <cell r="S46">
            <v>9.6999999999999993</v>
          </cell>
          <cell r="T46">
            <v>22.4</v>
          </cell>
          <cell r="U46">
            <v>6</v>
          </cell>
        </row>
        <row r="47">
          <cell r="A47" t="str">
            <v>AKM22G</v>
          </cell>
          <cell r="B47">
            <v>2.79</v>
          </cell>
          <cell r="C47">
            <v>19.3</v>
          </cell>
          <cell r="D47">
            <v>0.88</v>
          </cell>
          <cell r="E47">
            <v>4.82</v>
          </cell>
          <cell r="F47">
            <v>0.84</v>
          </cell>
          <cell r="G47">
            <v>2500</v>
          </cell>
          <cell r="H47">
            <v>0.74</v>
          </cell>
          <cell r="I47">
            <v>7000</v>
          </cell>
          <cell r="P47">
            <v>8000</v>
          </cell>
          <cell r="Q47">
            <v>0.161</v>
          </cell>
          <cell r="R47">
            <v>1.69</v>
          </cell>
          <cell r="S47">
            <v>3.19</v>
          </cell>
          <cell r="T47">
            <v>11.7</v>
          </cell>
          <cell r="U47">
            <v>6</v>
          </cell>
        </row>
        <row r="48">
          <cell r="A48" t="str">
            <v>AKM23C</v>
          </cell>
          <cell r="B48">
            <v>3.77</v>
          </cell>
          <cell r="C48">
            <v>5.6</v>
          </cell>
          <cell r="D48">
            <v>1.1299999999999999</v>
          </cell>
          <cell r="E48">
            <v>1.41</v>
          </cell>
          <cell r="H48">
            <v>1.1100000000000001</v>
          </cell>
          <cell r="I48">
            <v>1000</v>
          </cell>
          <cell r="J48">
            <v>1.08</v>
          </cell>
          <cell r="K48">
            <v>2500</v>
          </cell>
          <cell r="L48">
            <v>0.99</v>
          </cell>
          <cell r="M48">
            <v>5500</v>
          </cell>
          <cell r="N48">
            <v>0.95</v>
          </cell>
          <cell r="O48">
            <v>7000</v>
          </cell>
          <cell r="P48">
            <v>8000</v>
          </cell>
          <cell r="Q48">
            <v>0.21600000000000003</v>
          </cell>
          <cell r="R48">
            <v>20.3</v>
          </cell>
          <cell r="S48">
            <v>40.700000000000003</v>
          </cell>
          <cell r="T48">
            <v>51.8</v>
          </cell>
          <cell r="U48">
            <v>6</v>
          </cell>
        </row>
        <row r="49">
          <cell r="A49" t="str">
            <v>AKM23D</v>
          </cell>
          <cell r="B49">
            <v>3.84</v>
          </cell>
          <cell r="C49">
            <v>8.8000000000000007</v>
          </cell>
          <cell r="D49">
            <v>1.1599999999999999</v>
          </cell>
          <cell r="E49">
            <v>2.19</v>
          </cell>
          <cell r="H49">
            <v>1.1200000000000001</v>
          </cell>
          <cell r="I49">
            <v>1500</v>
          </cell>
          <cell r="J49">
            <v>1.03</v>
          </cell>
          <cell r="K49">
            <v>5000</v>
          </cell>
          <cell r="L49">
            <v>0.92</v>
          </cell>
          <cell r="M49">
            <v>8000</v>
          </cell>
          <cell r="N49">
            <v>0.92</v>
          </cell>
          <cell r="O49">
            <v>8000</v>
          </cell>
          <cell r="P49">
            <v>8000</v>
          </cell>
          <cell r="Q49">
            <v>0.21600000000000003</v>
          </cell>
          <cell r="R49">
            <v>8.36</v>
          </cell>
          <cell r="S49">
            <v>17.3</v>
          </cell>
          <cell r="T49">
            <v>33.799999999999997</v>
          </cell>
          <cell r="U49">
            <v>6</v>
          </cell>
        </row>
        <row r="50">
          <cell r="A50" t="str">
            <v>AKM23E</v>
          </cell>
          <cell r="B50">
            <v>3.88</v>
          </cell>
          <cell r="C50">
            <v>11.3</v>
          </cell>
          <cell r="D50">
            <v>1.1599999999999999</v>
          </cell>
          <cell r="E50">
            <v>2.78</v>
          </cell>
          <cell r="H50">
            <v>1.1000000000000001</v>
          </cell>
          <cell r="I50">
            <v>2500</v>
          </cell>
          <cell r="J50">
            <v>0.98</v>
          </cell>
          <cell r="K50">
            <v>6500</v>
          </cell>
          <cell r="P50">
            <v>8000</v>
          </cell>
          <cell r="Q50">
            <v>0.22</v>
          </cell>
          <cell r="R50">
            <v>5.44</v>
          </cell>
          <cell r="S50">
            <v>11.1</v>
          </cell>
          <cell r="T50">
            <v>27</v>
          </cell>
          <cell r="U50">
            <v>6</v>
          </cell>
        </row>
        <row r="51">
          <cell r="A51" t="str">
            <v>AKM23F</v>
          </cell>
          <cell r="B51">
            <v>3.88</v>
          </cell>
          <cell r="C51">
            <v>17.2</v>
          </cell>
          <cell r="D51">
            <v>1.18</v>
          </cell>
          <cell r="E51">
            <v>4.3099999999999996</v>
          </cell>
          <cell r="F51">
            <v>1.1499999999999999</v>
          </cell>
          <cell r="G51">
            <v>1500</v>
          </cell>
          <cell r="H51">
            <v>1.07</v>
          </cell>
          <cell r="I51">
            <v>4500</v>
          </cell>
          <cell r="J51">
            <v>0.94</v>
          </cell>
          <cell r="K51">
            <v>8000</v>
          </cell>
          <cell r="P51">
            <v>8000</v>
          </cell>
          <cell r="Q51">
            <v>0.21600000000000003</v>
          </cell>
          <cell r="R51">
            <v>2.23</v>
          </cell>
          <cell r="S51">
            <v>4.68</v>
          </cell>
          <cell r="T51">
            <v>17.600000000000001</v>
          </cell>
          <cell r="U51">
            <v>6</v>
          </cell>
        </row>
        <row r="52">
          <cell r="A52" t="str">
            <v>AKM24C</v>
          </cell>
          <cell r="B52">
            <v>4.67</v>
          </cell>
          <cell r="C52">
            <v>5.7</v>
          </cell>
          <cell r="D52">
            <v>1.38</v>
          </cell>
          <cell r="E52">
            <v>1.42</v>
          </cell>
          <cell r="J52">
            <v>1.32</v>
          </cell>
          <cell r="K52">
            <v>2000</v>
          </cell>
          <cell r="L52">
            <v>1.25</v>
          </cell>
          <cell r="M52">
            <v>4500</v>
          </cell>
          <cell r="N52">
            <v>1.22</v>
          </cell>
          <cell r="O52">
            <v>5500</v>
          </cell>
          <cell r="P52">
            <v>8000</v>
          </cell>
          <cell r="Q52">
            <v>0.27</v>
          </cell>
          <cell r="R52">
            <v>20.399999999999999</v>
          </cell>
          <cell r="S52">
            <v>43.8</v>
          </cell>
          <cell r="T52">
            <v>62.4</v>
          </cell>
          <cell r="U52">
            <v>6</v>
          </cell>
        </row>
        <row r="53">
          <cell r="A53" t="str">
            <v>AKM24D</v>
          </cell>
          <cell r="B53">
            <v>4.76</v>
          </cell>
          <cell r="C53">
            <v>8.8000000000000007</v>
          </cell>
          <cell r="D53">
            <v>1.41</v>
          </cell>
          <cell r="E53">
            <v>2.21</v>
          </cell>
          <cell r="H53">
            <v>1.36</v>
          </cell>
          <cell r="I53">
            <v>1500</v>
          </cell>
          <cell r="J53">
            <v>1.29</v>
          </cell>
          <cell r="K53">
            <v>4000</v>
          </cell>
          <cell r="L53">
            <v>1.1100000000000001</v>
          </cell>
          <cell r="M53">
            <v>8000</v>
          </cell>
          <cell r="N53">
            <v>1.1100000000000001</v>
          </cell>
          <cell r="O53">
            <v>8000</v>
          </cell>
          <cell r="P53">
            <v>8000</v>
          </cell>
          <cell r="Q53">
            <v>0.27</v>
          </cell>
          <cell r="R53">
            <v>8.4</v>
          </cell>
          <cell r="S53">
            <v>18.7</v>
          </cell>
          <cell r="T53">
            <v>40.799999999999997</v>
          </cell>
          <cell r="U53">
            <v>6</v>
          </cell>
        </row>
        <row r="54">
          <cell r="A54" t="str">
            <v>AKM24E</v>
          </cell>
          <cell r="B54">
            <v>4.76</v>
          </cell>
          <cell r="C54">
            <v>9.5</v>
          </cell>
          <cell r="D54">
            <v>1.4</v>
          </cell>
          <cell r="E54">
            <v>2.79</v>
          </cell>
          <cell r="H54">
            <v>1.34</v>
          </cell>
          <cell r="I54">
            <v>2000</v>
          </cell>
          <cell r="J54">
            <v>1.24</v>
          </cell>
          <cell r="K54">
            <v>5500</v>
          </cell>
          <cell r="P54">
            <v>8000</v>
          </cell>
          <cell r="Q54">
            <v>0.27</v>
          </cell>
          <cell r="R54">
            <v>5.44</v>
          </cell>
          <cell r="S54">
            <v>11.8</v>
          </cell>
          <cell r="T54">
            <v>32.4</v>
          </cell>
          <cell r="U54">
            <v>6</v>
          </cell>
        </row>
        <row r="55">
          <cell r="A55" t="str">
            <v>AKM24F</v>
          </cell>
          <cell r="B55">
            <v>4.82</v>
          </cell>
          <cell r="C55">
            <v>15.6</v>
          </cell>
          <cell r="D55">
            <v>1.42</v>
          </cell>
          <cell r="E55">
            <v>3.89</v>
          </cell>
          <cell r="F55">
            <v>1.39</v>
          </cell>
          <cell r="G55">
            <v>1000</v>
          </cell>
          <cell r="H55">
            <v>1.33</v>
          </cell>
          <cell r="I55">
            <v>3000</v>
          </cell>
          <cell r="J55">
            <v>1.1200000000000001</v>
          </cell>
          <cell r="K55">
            <v>8000</v>
          </cell>
          <cell r="P55">
            <v>8000</v>
          </cell>
          <cell r="Q55">
            <v>0.27</v>
          </cell>
          <cell r="R55">
            <v>2.77</v>
          </cell>
          <cell r="S55">
            <v>6.16</v>
          </cell>
          <cell r="T55">
            <v>23.4</v>
          </cell>
          <cell r="U55">
            <v>6</v>
          </cell>
        </row>
        <row r="56">
          <cell r="A56" t="str">
            <v>AKM31C</v>
          </cell>
          <cell r="B56">
            <v>3.88</v>
          </cell>
          <cell r="C56">
            <v>5.5</v>
          </cell>
          <cell r="D56">
            <v>1.1499999999999999</v>
          </cell>
          <cell r="E56">
            <v>1.37</v>
          </cell>
          <cell r="J56">
            <v>1.1200000000000001</v>
          </cell>
          <cell r="K56">
            <v>2500</v>
          </cell>
          <cell r="L56">
            <v>1</v>
          </cell>
          <cell r="M56">
            <v>5000</v>
          </cell>
          <cell r="N56">
            <v>0.91</v>
          </cell>
          <cell r="O56">
            <v>6000</v>
          </cell>
          <cell r="P56">
            <v>8000</v>
          </cell>
          <cell r="Q56">
            <v>0.33</v>
          </cell>
          <cell r="R56">
            <v>21.4</v>
          </cell>
          <cell r="S56">
            <v>37.5</v>
          </cell>
          <cell r="T56">
            <v>54.5</v>
          </cell>
          <cell r="U56">
            <v>8</v>
          </cell>
        </row>
        <row r="57">
          <cell r="A57" t="str">
            <v>AKM31E</v>
          </cell>
          <cell r="B57">
            <v>4</v>
          </cell>
          <cell r="C57">
            <v>12</v>
          </cell>
          <cell r="D57">
            <v>1.2</v>
          </cell>
          <cell r="E57">
            <v>2.99</v>
          </cell>
          <cell r="F57">
            <v>1.19</v>
          </cell>
          <cell r="G57">
            <v>750</v>
          </cell>
          <cell r="H57">
            <v>1.17</v>
          </cell>
          <cell r="I57">
            <v>2500</v>
          </cell>
          <cell r="J57">
            <v>0.95</v>
          </cell>
          <cell r="K57">
            <v>6000</v>
          </cell>
          <cell r="P57">
            <v>8000</v>
          </cell>
          <cell r="Q57">
            <v>0.33</v>
          </cell>
          <cell r="R57">
            <v>4.58</v>
          </cell>
          <cell r="S57">
            <v>8.6</v>
          </cell>
          <cell r="T57">
            <v>26.1</v>
          </cell>
          <cell r="U57">
            <v>8</v>
          </cell>
        </row>
        <row r="58">
          <cell r="A58" t="str">
            <v>AKM31H</v>
          </cell>
          <cell r="B58">
            <v>4.0599999999999996</v>
          </cell>
          <cell r="C58">
            <v>23.4</v>
          </cell>
          <cell r="D58">
            <v>1.23</v>
          </cell>
          <cell r="E58">
            <v>5.85</v>
          </cell>
          <cell r="F58">
            <v>1.2</v>
          </cell>
          <cell r="G58">
            <v>2000</v>
          </cell>
          <cell r="H58">
            <v>0.97</v>
          </cell>
          <cell r="I58">
            <v>6000</v>
          </cell>
          <cell r="P58">
            <v>8000</v>
          </cell>
          <cell r="Q58">
            <v>0.33</v>
          </cell>
          <cell r="R58">
            <v>1.25</v>
          </cell>
          <cell r="S58">
            <v>2.4</v>
          </cell>
          <cell r="T58">
            <v>13.7</v>
          </cell>
          <cell r="U58">
            <v>8</v>
          </cell>
        </row>
        <row r="59">
          <cell r="A59" t="str">
            <v>AKM32C</v>
          </cell>
          <cell r="B59">
            <v>6.92</v>
          </cell>
          <cell r="C59">
            <v>5.8</v>
          </cell>
          <cell r="D59">
            <v>2</v>
          </cell>
          <cell r="E59">
            <v>1.44</v>
          </cell>
          <cell r="J59">
            <v>1.95</v>
          </cell>
          <cell r="K59">
            <v>1500</v>
          </cell>
          <cell r="L59">
            <v>1.86</v>
          </cell>
          <cell r="M59">
            <v>3000</v>
          </cell>
          <cell r="N59">
            <v>1.83</v>
          </cell>
          <cell r="O59">
            <v>3500</v>
          </cell>
          <cell r="P59">
            <v>8000</v>
          </cell>
          <cell r="Q59">
            <v>0.59</v>
          </cell>
          <cell r="R59">
            <v>23</v>
          </cell>
          <cell r="S59">
            <v>46.5</v>
          </cell>
          <cell r="T59">
            <v>89.8</v>
          </cell>
          <cell r="U59">
            <v>8</v>
          </cell>
        </row>
        <row r="60">
          <cell r="A60" t="str">
            <v>AKM32D</v>
          </cell>
          <cell r="B60">
            <v>7.1</v>
          </cell>
          <cell r="C60">
            <v>8.9</v>
          </cell>
          <cell r="D60">
            <v>2.04</v>
          </cell>
          <cell r="E60">
            <v>2.23</v>
          </cell>
          <cell r="H60">
            <v>2</v>
          </cell>
          <cell r="I60">
            <v>1000</v>
          </cell>
          <cell r="J60">
            <v>1.93</v>
          </cell>
          <cell r="K60">
            <v>2500</v>
          </cell>
          <cell r="L60">
            <v>1.65</v>
          </cell>
          <cell r="M60">
            <v>5500</v>
          </cell>
          <cell r="N60">
            <v>1.58</v>
          </cell>
          <cell r="O60">
            <v>6000</v>
          </cell>
          <cell r="P60">
            <v>8000</v>
          </cell>
          <cell r="Q60">
            <v>0.59</v>
          </cell>
          <cell r="R60">
            <v>9.57</v>
          </cell>
          <cell r="S60">
            <v>20.100000000000001</v>
          </cell>
          <cell r="T60">
            <v>59</v>
          </cell>
          <cell r="U60">
            <v>8</v>
          </cell>
        </row>
        <row r="61">
          <cell r="A61" t="str">
            <v>AKM32E</v>
          </cell>
          <cell r="B61">
            <v>7.11</v>
          </cell>
          <cell r="C61">
            <v>11.3</v>
          </cell>
          <cell r="D61">
            <v>2.04</v>
          </cell>
          <cell r="E61">
            <v>2.82</v>
          </cell>
          <cell r="J61">
            <v>1.87</v>
          </cell>
          <cell r="K61">
            <v>3500</v>
          </cell>
          <cell r="L61">
            <v>1.41</v>
          </cell>
          <cell r="M61">
            <v>7000</v>
          </cell>
          <cell r="N61">
            <v>1.22</v>
          </cell>
          <cell r="O61">
            <v>8000</v>
          </cell>
          <cell r="P61">
            <v>8000</v>
          </cell>
          <cell r="Q61">
            <v>0.59</v>
          </cell>
          <cell r="R61">
            <v>6.3</v>
          </cell>
          <cell r="S61">
            <v>12.8</v>
          </cell>
          <cell r="T61">
            <v>47.1</v>
          </cell>
          <cell r="U61">
            <v>8</v>
          </cell>
        </row>
        <row r="62">
          <cell r="A62" t="str">
            <v>AKM32H</v>
          </cell>
          <cell r="B62">
            <v>7.26</v>
          </cell>
          <cell r="C62">
            <v>22</v>
          </cell>
          <cell r="D62">
            <v>2.1</v>
          </cell>
          <cell r="E62">
            <v>5.5</v>
          </cell>
          <cell r="F62">
            <v>2.06</v>
          </cell>
          <cell r="G62">
            <v>1200</v>
          </cell>
          <cell r="H62">
            <v>1.96</v>
          </cell>
          <cell r="I62">
            <v>3000</v>
          </cell>
          <cell r="J62">
            <v>1.45</v>
          </cell>
          <cell r="K62">
            <v>7000</v>
          </cell>
          <cell r="P62">
            <v>8000</v>
          </cell>
          <cell r="Q62">
            <v>0.59</v>
          </cell>
          <cell r="R62">
            <v>1.64</v>
          </cell>
          <cell r="S62">
            <v>3.55</v>
          </cell>
          <cell r="T62">
            <v>24.8</v>
          </cell>
          <cell r="U62">
            <v>8</v>
          </cell>
        </row>
        <row r="63">
          <cell r="A63" t="str">
            <v>AKM33C</v>
          </cell>
          <cell r="B63">
            <v>9.76</v>
          </cell>
          <cell r="C63">
            <v>5.9</v>
          </cell>
          <cell r="D63">
            <v>2.71</v>
          </cell>
          <cell r="E63">
            <v>1.47</v>
          </cell>
          <cell r="J63">
            <v>2.64</v>
          </cell>
          <cell r="K63">
            <v>1000</v>
          </cell>
          <cell r="L63">
            <v>2.54</v>
          </cell>
          <cell r="M63">
            <v>2000</v>
          </cell>
          <cell r="N63">
            <v>2.5</v>
          </cell>
          <cell r="O63">
            <v>2500</v>
          </cell>
          <cell r="P63">
            <v>8000</v>
          </cell>
          <cell r="Q63">
            <v>0.85</v>
          </cell>
          <cell r="R63">
            <v>25.4</v>
          </cell>
          <cell r="S63">
            <v>53.6</v>
          </cell>
          <cell r="T63">
            <v>120</v>
          </cell>
          <cell r="U63">
            <v>8</v>
          </cell>
        </row>
        <row r="64">
          <cell r="A64" t="str">
            <v>AKM33E</v>
          </cell>
          <cell r="B64">
            <v>9.9600000000000009</v>
          </cell>
          <cell r="C64">
            <v>10.3</v>
          </cell>
          <cell r="D64">
            <v>2.79</v>
          </cell>
          <cell r="E64">
            <v>2.58</v>
          </cell>
          <cell r="J64">
            <v>2.62</v>
          </cell>
          <cell r="K64">
            <v>2000</v>
          </cell>
          <cell r="L64">
            <v>2.34</v>
          </cell>
          <cell r="M64">
            <v>4500</v>
          </cell>
          <cell r="N64">
            <v>2.27</v>
          </cell>
          <cell r="O64">
            <v>5000</v>
          </cell>
          <cell r="P64">
            <v>8000</v>
          </cell>
          <cell r="Q64">
            <v>0.85</v>
          </cell>
          <cell r="R64">
            <v>8.36</v>
          </cell>
          <cell r="S64">
            <v>18.5</v>
          </cell>
          <cell r="T64">
            <v>70.599999999999994</v>
          </cell>
          <cell r="U64">
            <v>8</v>
          </cell>
        </row>
        <row r="65">
          <cell r="A65" t="str">
            <v>AKM33H</v>
          </cell>
          <cell r="B65">
            <v>10.220000000000001</v>
          </cell>
          <cell r="C65">
            <v>22.5</v>
          </cell>
          <cell r="D65">
            <v>2.88</v>
          </cell>
          <cell r="E65">
            <v>5.62</v>
          </cell>
          <cell r="F65">
            <v>2.82</v>
          </cell>
          <cell r="G65">
            <v>800</v>
          </cell>
          <cell r="H65">
            <v>2.66</v>
          </cell>
          <cell r="I65">
            <v>2500</v>
          </cell>
          <cell r="J65">
            <v>2.27</v>
          </cell>
          <cell r="K65">
            <v>5500</v>
          </cell>
          <cell r="P65">
            <v>8000</v>
          </cell>
          <cell r="Q65">
            <v>0.85</v>
          </cell>
          <cell r="R65">
            <v>1.82</v>
          </cell>
          <cell r="S65">
            <v>4.0999999999999996</v>
          </cell>
          <cell r="T65">
            <v>33.4</v>
          </cell>
          <cell r="U65">
            <v>8</v>
          </cell>
        </row>
        <row r="66">
          <cell r="A66" t="str">
            <v>AKM41C</v>
          </cell>
          <cell r="B66">
            <v>6.12</v>
          </cell>
          <cell r="C66">
            <v>5.8</v>
          </cell>
          <cell r="D66">
            <v>1.95</v>
          </cell>
          <cell r="E66">
            <v>1.46</v>
          </cell>
          <cell r="J66">
            <v>1.88</v>
          </cell>
          <cell r="K66">
            <v>1200</v>
          </cell>
          <cell r="L66">
            <v>1.77</v>
          </cell>
          <cell r="M66">
            <v>3000</v>
          </cell>
          <cell r="N66">
            <v>1.74</v>
          </cell>
          <cell r="O66">
            <v>3500</v>
          </cell>
          <cell r="P66">
            <v>6000</v>
          </cell>
          <cell r="Q66">
            <v>0.81</v>
          </cell>
          <cell r="R66">
            <v>21.7</v>
          </cell>
          <cell r="S66">
            <v>66.099999999999994</v>
          </cell>
          <cell r="T66">
            <v>86.3</v>
          </cell>
          <cell r="U66">
            <v>10</v>
          </cell>
        </row>
        <row r="67">
          <cell r="A67" t="str">
            <v>AKM41E</v>
          </cell>
          <cell r="B67">
            <v>6.28</v>
          </cell>
          <cell r="C67">
            <v>11.4</v>
          </cell>
          <cell r="D67">
            <v>2.02</v>
          </cell>
          <cell r="E67">
            <v>2.85</v>
          </cell>
          <cell r="H67">
            <v>1.94</v>
          </cell>
          <cell r="I67">
            <v>1200</v>
          </cell>
          <cell r="J67">
            <v>1.82</v>
          </cell>
          <cell r="K67">
            <v>3000</v>
          </cell>
          <cell r="L67">
            <v>1.58</v>
          </cell>
          <cell r="M67">
            <v>6000</v>
          </cell>
          <cell r="N67">
            <v>1.58</v>
          </cell>
          <cell r="O67">
            <v>6000</v>
          </cell>
          <cell r="P67">
            <v>6000</v>
          </cell>
          <cell r="Q67">
            <v>0.81</v>
          </cell>
          <cell r="R67">
            <v>5.7</v>
          </cell>
          <cell r="S67">
            <v>18.399999999999999</v>
          </cell>
          <cell r="T67">
            <v>45.6</v>
          </cell>
          <cell r="U67">
            <v>10</v>
          </cell>
        </row>
        <row r="68">
          <cell r="A68" t="str">
            <v>AKM41H</v>
          </cell>
          <cell r="B68">
            <v>6.36</v>
          </cell>
          <cell r="C68">
            <v>22.4</v>
          </cell>
          <cell r="D68">
            <v>2.06</v>
          </cell>
          <cell r="E68">
            <v>5.6</v>
          </cell>
          <cell r="F68">
            <v>1.99</v>
          </cell>
          <cell r="G68">
            <v>1000</v>
          </cell>
          <cell r="H68">
            <v>1.86</v>
          </cell>
          <cell r="I68">
            <v>3000</v>
          </cell>
          <cell r="J68">
            <v>1.62</v>
          </cell>
          <cell r="K68">
            <v>6000</v>
          </cell>
          <cell r="P68">
            <v>6000</v>
          </cell>
          <cell r="Q68">
            <v>0.81</v>
          </cell>
          <cell r="R68">
            <v>1.51</v>
          </cell>
          <cell r="S68">
            <v>5</v>
          </cell>
          <cell r="T68">
            <v>23.7</v>
          </cell>
          <cell r="U68">
            <v>10</v>
          </cell>
        </row>
        <row r="69">
          <cell r="A69" t="str">
            <v>AKM42C</v>
          </cell>
          <cell r="B69">
            <v>11.3</v>
          </cell>
          <cell r="C69">
            <v>5.6</v>
          </cell>
          <cell r="D69">
            <v>3.35</v>
          </cell>
          <cell r="E69">
            <v>1.4</v>
          </cell>
          <cell r="L69">
            <v>3.1</v>
          </cell>
          <cell r="M69">
            <v>1500</v>
          </cell>
          <cell r="N69">
            <v>3.02</v>
          </cell>
          <cell r="O69">
            <v>2000</v>
          </cell>
          <cell r="P69">
            <v>6000</v>
          </cell>
          <cell r="Q69">
            <v>1.45</v>
          </cell>
          <cell r="R69">
            <v>27.52</v>
          </cell>
          <cell r="S69">
            <v>97.4</v>
          </cell>
          <cell r="T69">
            <v>154</v>
          </cell>
          <cell r="U69">
            <v>10</v>
          </cell>
        </row>
        <row r="70">
          <cell r="A70" t="str">
            <v>AKM42E</v>
          </cell>
          <cell r="B70">
            <v>11.3</v>
          </cell>
          <cell r="C70">
            <v>11</v>
          </cell>
          <cell r="D70">
            <v>3.42</v>
          </cell>
          <cell r="E70">
            <v>2.74</v>
          </cell>
          <cell r="J70">
            <v>3.12</v>
          </cell>
          <cell r="K70">
            <v>1800</v>
          </cell>
          <cell r="L70">
            <v>2.81</v>
          </cell>
          <cell r="M70">
            <v>3500</v>
          </cell>
          <cell r="N70">
            <v>2.72</v>
          </cell>
          <cell r="O70">
            <v>4000</v>
          </cell>
          <cell r="P70">
            <v>6000</v>
          </cell>
          <cell r="Q70">
            <v>1.45</v>
          </cell>
          <cell r="R70">
            <v>7.22</v>
          </cell>
          <cell r="S70">
            <v>26.8</v>
          </cell>
          <cell r="T70">
            <v>80.900000000000006</v>
          </cell>
          <cell r="U70">
            <v>10</v>
          </cell>
        </row>
        <row r="71">
          <cell r="A71" t="str">
            <v>AKM42G</v>
          </cell>
          <cell r="B71">
            <v>11.5</v>
          </cell>
          <cell r="C71">
            <v>19.2</v>
          </cell>
          <cell r="D71">
            <v>3.53</v>
          </cell>
          <cell r="E71">
            <v>4.8</v>
          </cell>
          <cell r="J71">
            <v>2.9</v>
          </cell>
          <cell r="K71">
            <v>3500</v>
          </cell>
          <cell r="L71">
            <v>2.35</v>
          </cell>
          <cell r="M71">
            <v>6000</v>
          </cell>
          <cell r="N71">
            <v>2.35</v>
          </cell>
          <cell r="O71">
            <v>6000</v>
          </cell>
          <cell r="P71">
            <v>6000</v>
          </cell>
          <cell r="Q71">
            <v>1.45</v>
          </cell>
          <cell r="R71">
            <v>2.38</v>
          </cell>
          <cell r="S71">
            <v>9.1999999999999993</v>
          </cell>
          <cell r="T71">
            <v>47.5</v>
          </cell>
          <cell r="U71">
            <v>10</v>
          </cell>
        </row>
        <row r="72">
          <cell r="A72" t="str">
            <v>AKM42H</v>
          </cell>
          <cell r="B72">
            <v>11.5</v>
          </cell>
          <cell r="C72">
            <v>24</v>
          </cell>
          <cell r="D72">
            <v>3.54</v>
          </cell>
          <cell r="E72">
            <v>6</v>
          </cell>
          <cell r="H72">
            <v>3.2</v>
          </cell>
          <cell r="I72">
            <v>2000</v>
          </cell>
          <cell r="J72">
            <v>2.72</v>
          </cell>
          <cell r="K72">
            <v>4500</v>
          </cell>
          <cell r="P72">
            <v>6000</v>
          </cell>
          <cell r="Q72">
            <v>1.5</v>
          </cell>
          <cell r="R72">
            <v>1.65</v>
          </cell>
          <cell r="S72">
            <v>6</v>
          </cell>
          <cell r="T72">
            <v>38.299999999999997</v>
          </cell>
          <cell r="U72">
            <v>10</v>
          </cell>
        </row>
        <row r="73">
          <cell r="A73" t="str">
            <v>AKM42J</v>
          </cell>
          <cell r="B73">
            <v>11.6</v>
          </cell>
          <cell r="C73">
            <v>33.6</v>
          </cell>
          <cell r="D73">
            <v>3.56</v>
          </cell>
          <cell r="E73">
            <v>8.4</v>
          </cell>
          <cell r="H73">
            <v>3.03</v>
          </cell>
          <cell r="I73">
            <v>3000</v>
          </cell>
          <cell r="J73">
            <v>2.38</v>
          </cell>
          <cell r="K73">
            <v>6000</v>
          </cell>
          <cell r="P73">
            <v>6000</v>
          </cell>
          <cell r="Q73">
            <v>1.45</v>
          </cell>
          <cell r="R73">
            <v>0.8</v>
          </cell>
          <cell r="S73">
            <v>3.1</v>
          </cell>
          <cell r="T73">
            <v>27.5</v>
          </cell>
          <cell r="U73">
            <v>10</v>
          </cell>
        </row>
        <row r="74">
          <cell r="A74" t="str">
            <v>AKM43E</v>
          </cell>
          <cell r="B74">
            <v>15.9</v>
          </cell>
          <cell r="C74">
            <v>11</v>
          </cell>
          <cell r="D74">
            <v>4.7</v>
          </cell>
          <cell r="E74">
            <v>2.76</v>
          </cell>
          <cell r="J74">
            <v>4.24</v>
          </cell>
          <cell r="K74">
            <v>1500</v>
          </cell>
          <cell r="L74">
            <v>3.92</v>
          </cell>
          <cell r="M74">
            <v>2500</v>
          </cell>
          <cell r="N74">
            <v>3.76</v>
          </cell>
          <cell r="O74">
            <v>3000</v>
          </cell>
          <cell r="P74">
            <v>6000</v>
          </cell>
          <cell r="Q74">
            <v>2.09</v>
          </cell>
          <cell r="R74">
            <v>8.0399999999999991</v>
          </cell>
          <cell r="S74">
            <v>32.6</v>
          </cell>
          <cell r="T74">
            <v>111</v>
          </cell>
          <cell r="U74">
            <v>10</v>
          </cell>
        </row>
        <row r="75">
          <cell r="A75" t="str">
            <v>AKM43G</v>
          </cell>
          <cell r="B75">
            <v>16.100000000000001</v>
          </cell>
          <cell r="C75">
            <v>19.5</v>
          </cell>
          <cell r="D75">
            <v>4.8</v>
          </cell>
          <cell r="E75">
            <v>4.87</v>
          </cell>
          <cell r="J75">
            <v>4</v>
          </cell>
          <cell r="K75">
            <v>2500</v>
          </cell>
          <cell r="L75">
            <v>3.01</v>
          </cell>
          <cell r="M75">
            <v>5000</v>
          </cell>
          <cell r="N75">
            <v>2.57</v>
          </cell>
          <cell r="O75">
            <v>6000</v>
          </cell>
          <cell r="P75">
            <v>6000</v>
          </cell>
          <cell r="Q75">
            <v>2.09</v>
          </cell>
          <cell r="R75">
            <v>2.61</v>
          </cell>
          <cell r="S75">
            <v>10.8</v>
          </cell>
          <cell r="T75">
            <v>63.9</v>
          </cell>
          <cell r="U75">
            <v>10</v>
          </cell>
        </row>
        <row r="76">
          <cell r="A76" t="str">
            <v>AKM43H</v>
          </cell>
          <cell r="B76">
            <v>16.100000000000001</v>
          </cell>
          <cell r="C76">
            <v>22</v>
          </cell>
          <cell r="D76">
            <v>4.82</v>
          </cell>
          <cell r="E76">
            <v>5.4</v>
          </cell>
          <cell r="J76">
            <v>3.86</v>
          </cell>
          <cell r="K76">
            <v>3000</v>
          </cell>
          <cell r="L76">
            <v>2.58</v>
          </cell>
          <cell r="M76">
            <v>6000</v>
          </cell>
          <cell r="P76">
            <v>6000</v>
          </cell>
          <cell r="Q76">
            <v>2.1</v>
          </cell>
          <cell r="R76">
            <v>2.1</v>
          </cell>
          <cell r="S76">
            <v>6.8</v>
          </cell>
          <cell r="T76">
            <v>57.4</v>
          </cell>
          <cell r="U76">
            <v>10</v>
          </cell>
        </row>
        <row r="77">
          <cell r="A77" t="str">
            <v>AKM43K</v>
          </cell>
          <cell r="B77">
            <v>16.399999999999999</v>
          </cell>
          <cell r="C77">
            <v>38.4</v>
          </cell>
          <cell r="D77">
            <v>4.9000000000000004</v>
          </cell>
          <cell r="E77">
            <v>9.6</v>
          </cell>
          <cell r="H77">
            <v>4.08</v>
          </cell>
          <cell r="I77">
            <v>2500</v>
          </cell>
          <cell r="J77">
            <v>2.62</v>
          </cell>
          <cell r="K77">
            <v>6000</v>
          </cell>
          <cell r="P77">
            <v>6000</v>
          </cell>
          <cell r="Q77">
            <v>2.09</v>
          </cell>
          <cell r="R77">
            <v>0.7</v>
          </cell>
          <cell r="S77">
            <v>2.9</v>
          </cell>
          <cell r="T77">
            <v>33.200000000000003</v>
          </cell>
          <cell r="U77">
            <v>10</v>
          </cell>
        </row>
        <row r="78">
          <cell r="A78" t="str">
            <v>AKM43L</v>
          </cell>
          <cell r="B78">
            <v>16.399999999999999</v>
          </cell>
          <cell r="C78">
            <v>47.3</v>
          </cell>
          <cell r="D78">
            <v>4.7300000000000004</v>
          </cell>
          <cell r="E78">
            <v>11.2</v>
          </cell>
          <cell r="H78">
            <v>3.78</v>
          </cell>
          <cell r="I78">
            <v>3000</v>
          </cell>
          <cell r="J78">
            <v>2.5299999999999998</v>
          </cell>
          <cell r="K78">
            <v>6000</v>
          </cell>
          <cell r="P78">
            <v>6000</v>
          </cell>
          <cell r="Q78">
            <v>2.1</v>
          </cell>
          <cell r="R78">
            <v>0.56999999999999995</v>
          </cell>
          <cell r="S78">
            <v>2</v>
          </cell>
          <cell r="T78">
            <v>27.5</v>
          </cell>
          <cell r="U78">
            <v>10</v>
          </cell>
        </row>
        <row r="79">
          <cell r="A79" t="str">
            <v>AKM44E</v>
          </cell>
          <cell r="B79">
            <v>19.899999999999999</v>
          </cell>
          <cell r="C79">
            <v>11.4</v>
          </cell>
          <cell r="D79">
            <v>5.76</v>
          </cell>
          <cell r="E79">
            <v>2.85</v>
          </cell>
          <cell r="J79">
            <v>5.2</v>
          </cell>
          <cell r="K79">
            <v>1200</v>
          </cell>
          <cell r="L79">
            <v>4.8</v>
          </cell>
          <cell r="M79">
            <v>2000</v>
          </cell>
          <cell r="N79">
            <v>4.5599999999999996</v>
          </cell>
          <cell r="O79">
            <v>2500</v>
          </cell>
          <cell r="P79">
            <v>6000</v>
          </cell>
          <cell r="Q79">
            <v>2.73</v>
          </cell>
          <cell r="R79">
            <v>8.08</v>
          </cell>
          <cell r="S79">
            <v>33.9</v>
          </cell>
          <cell r="T79">
            <v>132</v>
          </cell>
          <cell r="U79">
            <v>10</v>
          </cell>
        </row>
        <row r="80">
          <cell r="A80" t="str">
            <v>AKM44G</v>
          </cell>
          <cell r="B80">
            <v>20.3</v>
          </cell>
          <cell r="C80">
            <v>20</v>
          </cell>
          <cell r="D80">
            <v>5.88</v>
          </cell>
          <cell r="E80">
            <v>5</v>
          </cell>
          <cell r="J80">
            <v>4.9000000000000004</v>
          </cell>
          <cell r="K80">
            <v>2000</v>
          </cell>
          <cell r="L80">
            <v>3.76</v>
          </cell>
          <cell r="M80">
            <v>4000</v>
          </cell>
          <cell r="N80">
            <v>3.19</v>
          </cell>
          <cell r="O80">
            <v>5000</v>
          </cell>
          <cell r="P80">
            <v>6000</v>
          </cell>
          <cell r="Q80">
            <v>2.73</v>
          </cell>
          <cell r="R80">
            <v>2.65</v>
          </cell>
          <cell r="S80">
            <v>11.5</v>
          </cell>
          <cell r="T80">
            <v>76.599999999999994</v>
          </cell>
          <cell r="U80">
            <v>10</v>
          </cell>
        </row>
        <row r="81">
          <cell r="A81" t="str">
            <v>AKM44H</v>
          </cell>
          <cell r="B81">
            <v>20.3</v>
          </cell>
          <cell r="C81">
            <v>23.5</v>
          </cell>
          <cell r="D81">
            <v>5.89</v>
          </cell>
          <cell r="E81">
            <v>5.6</v>
          </cell>
          <cell r="J81">
            <v>4.66</v>
          </cell>
          <cell r="K81">
            <v>2500</v>
          </cell>
          <cell r="L81">
            <v>3.19</v>
          </cell>
          <cell r="M81">
            <v>5000</v>
          </cell>
          <cell r="N81">
            <v>2.7</v>
          </cell>
          <cell r="O81">
            <v>6000</v>
          </cell>
          <cell r="P81">
            <v>6000</v>
          </cell>
          <cell r="Q81">
            <v>2.7</v>
          </cell>
          <cell r="R81">
            <v>2.23</v>
          </cell>
          <cell r="S81">
            <v>9.1</v>
          </cell>
          <cell r="T81">
            <v>68</v>
          </cell>
          <cell r="U81">
            <v>10</v>
          </cell>
        </row>
        <row r="82">
          <cell r="A82" t="str">
            <v>AKM44J</v>
          </cell>
          <cell r="B82">
            <v>20.399999999999999</v>
          </cell>
          <cell r="C82">
            <v>35.200000000000003</v>
          </cell>
          <cell r="D82">
            <v>6</v>
          </cell>
          <cell r="E82">
            <v>8.8000000000000007</v>
          </cell>
          <cell r="H82">
            <v>5</v>
          </cell>
          <cell r="I82">
            <v>2000</v>
          </cell>
          <cell r="J82">
            <v>3.84</v>
          </cell>
          <cell r="K82">
            <v>4000</v>
          </cell>
          <cell r="L82">
            <v>2.75</v>
          </cell>
          <cell r="M82">
            <v>6000</v>
          </cell>
          <cell r="N82">
            <v>2.75</v>
          </cell>
          <cell r="O82">
            <v>6000</v>
          </cell>
          <cell r="P82">
            <v>6000</v>
          </cell>
          <cell r="Q82">
            <v>2.73</v>
          </cell>
          <cell r="R82">
            <v>0.88</v>
          </cell>
          <cell r="S82">
            <v>3.8</v>
          </cell>
          <cell r="T82">
            <v>44.2</v>
          </cell>
          <cell r="U82">
            <v>10</v>
          </cell>
        </row>
        <row r="83">
          <cell r="A83" t="str">
            <v>AKM44K</v>
          </cell>
          <cell r="B83">
            <v>20.399999999999999</v>
          </cell>
          <cell r="C83">
            <v>42.7</v>
          </cell>
          <cell r="D83">
            <v>5.88</v>
          </cell>
          <cell r="E83">
            <v>10.1</v>
          </cell>
          <cell r="H83">
            <v>4.9000000000000004</v>
          </cell>
          <cell r="I83">
            <v>2000</v>
          </cell>
          <cell r="J83">
            <v>3.18</v>
          </cell>
          <cell r="K83">
            <v>5000</v>
          </cell>
          <cell r="P83">
            <v>6000</v>
          </cell>
          <cell r="Q83">
            <v>2.7</v>
          </cell>
          <cell r="R83">
            <v>0.68</v>
          </cell>
          <cell r="S83">
            <v>2.8</v>
          </cell>
          <cell r="T83">
            <v>37.799999999999997</v>
          </cell>
          <cell r="U83">
            <v>10</v>
          </cell>
        </row>
        <row r="84">
          <cell r="A84" t="str">
            <v>AKM51E</v>
          </cell>
          <cell r="B84">
            <v>11.6</v>
          </cell>
          <cell r="C84">
            <v>8.1999999999999993</v>
          </cell>
          <cell r="D84">
            <v>4.7</v>
          </cell>
          <cell r="E84">
            <v>2.75</v>
          </cell>
          <cell r="J84">
            <v>4.41</v>
          </cell>
          <cell r="K84">
            <v>1200</v>
          </cell>
          <cell r="L84">
            <v>3.98</v>
          </cell>
          <cell r="M84">
            <v>2500</v>
          </cell>
          <cell r="N84">
            <v>3.8</v>
          </cell>
          <cell r="O84">
            <v>3000</v>
          </cell>
          <cell r="P84">
            <v>6000</v>
          </cell>
          <cell r="Q84">
            <v>3.42</v>
          </cell>
          <cell r="R84">
            <v>8.4700000000000006</v>
          </cell>
          <cell r="S84">
            <v>36.6</v>
          </cell>
          <cell r="T84">
            <v>110</v>
          </cell>
          <cell r="U84">
            <v>10</v>
          </cell>
        </row>
        <row r="85">
          <cell r="A85" t="str">
            <v>AKM51G</v>
          </cell>
          <cell r="B85">
            <v>11.7</v>
          </cell>
          <cell r="C85">
            <v>14.5</v>
          </cell>
          <cell r="D85">
            <v>4.75</v>
          </cell>
          <cell r="E85">
            <v>4.84</v>
          </cell>
          <cell r="J85">
            <v>4.03</v>
          </cell>
          <cell r="K85">
            <v>2500</v>
          </cell>
          <cell r="L85">
            <v>2.62</v>
          </cell>
          <cell r="M85">
            <v>5000</v>
          </cell>
          <cell r="N85">
            <v>1.94</v>
          </cell>
          <cell r="O85">
            <v>6000</v>
          </cell>
          <cell r="P85">
            <v>6000</v>
          </cell>
          <cell r="Q85">
            <v>3.42</v>
          </cell>
          <cell r="R85">
            <v>2.75</v>
          </cell>
          <cell r="S85">
            <v>12.1</v>
          </cell>
          <cell r="T85">
            <v>63.6</v>
          </cell>
          <cell r="U85">
            <v>10</v>
          </cell>
        </row>
        <row r="86">
          <cell r="A86" t="str">
            <v>AKM51H</v>
          </cell>
          <cell r="B86">
            <v>11.7</v>
          </cell>
          <cell r="C86">
            <v>18</v>
          </cell>
          <cell r="D86">
            <v>4.79</v>
          </cell>
          <cell r="E86">
            <v>6</v>
          </cell>
          <cell r="J86">
            <v>3.87</v>
          </cell>
          <cell r="K86">
            <v>3000</v>
          </cell>
          <cell r="L86">
            <v>1.95</v>
          </cell>
          <cell r="M86">
            <v>6000</v>
          </cell>
          <cell r="N86">
            <v>1.95</v>
          </cell>
          <cell r="O86">
            <v>6000</v>
          </cell>
          <cell r="P86">
            <v>6000</v>
          </cell>
          <cell r="Q86">
            <v>3.4</v>
          </cell>
          <cell r="R86">
            <v>1.97</v>
          </cell>
          <cell r="S86">
            <v>7.9</v>
          </cell>
          <cell r="T86">
            <v>51.3</v>
          </cell>
          <cell r="U86">
            <v>10</v>
          </cell>
        </row>
        <row r="87">
          <cell r="A87" t="str">
            <v>AKM51I</v>
          </cell>
          <cell r="B87">
            <v>11.8</v>
          </cell>
          <cell r="C87">
            <v>22.5</v>
          </cell>
          <cell r="D87">
            <v>4.83</v>
          </cell>
          <cell r="E87">
            <v>7.5</v>
          </cell>
          <cell r="H87">
            <v>4.3499999999999996</v>
          </cell>
          <cell r="I87">
            <v>1750</v>
          </cell>
          <cell r="J87">
            <v>3.35</v>
          </cell>
          <cell r="K87">
            <v>4000</v>
          </cell>
          <cell r="L87">
            <v>1.97</v>
          </cell>
          <cell r="M87">
            <v>6000</v>
          </cell>
          <cell r="N87">
            <v>1.97</v>
          </cell>
          <cell r="O87">
            <v>6000</v>
          </cell>
          <cell r="P87">
            <v>6000</v>
          </cell>
          <cell r="Q87">
            <v>3.4</v>
          </cell>
          <cell r="R87">
            <v>1.3</v>
          </cell>
          <cell r="S87">
            <v>5.15</v>
          </cell>
          <cell r="T87">
            <v>41.4</v>
          </cell>
          <cell r="U87">
            <v>10</v>
          </cell>
        </row>
        <row r="88">
          <cell r="A88" t="str">
            <v>AKM51K</v>
          </cell>
          <cell r="B88">
            <v>11.9</v>
          </cell>
          <cell r="C88">
            <v>28.2</v>
          </cell>
          <cell r="D88">
            <v>4.9000000000000004</v>
          </cell>
          <cell r="E88">
            <v>9.4</v>
          </cell>
          <cell r="H88">
            <v>4.1500000000000004</v>
          </cell>
          <cell r="I88">
            <v>2500</v>
          </cell>
          <cell r="J88">
            <v>2.35</v>
          </cell>
          <cell r="K88">
            <v>5500</v>
          </cell>
          <cell r="P88">
            <v>6000</v>
          </cell>
          <cell r="Q88">
            <v>3.42</v>
          </cell>
          <cell r="R88">
            <v>0.75</v>
          </cell>
          <cell r="S88">
            <v>3.4</v>
          </cell>
          <cell r="T88">
            <v>33.5</v>
          </cell>
          <cell r="U88">
            <v>10</v>
          </cell>
        </row>
        <row r="89">
          <cell r="A89" t="str">
            <v>AKM51L</v>
          </cell>
          <cell r="B89">
            <v>11.9</v>
          </cell>
          <cell r="C89">
            <v>35</v>
          </cell>
          <cell r="D89">
            <v>4.8899999999999997</v>
          </cell>
          <cell r="E89">
            <v>11.9</v>
          </cell>
          <cell r="H89">
            <v>3.95</v>
          </cell>
          <cell r="I89">
            <v>3000</v>
          </cell>
          <cell r="J89">
            <v>2</v>
          </cell>
          <cell r="K89">
            <v>6000</v>
          </cell>
          <cell r="P89">
            <v>6000</v>
          </cell>
          <cell r="Q89">
            <v>3.4</v>
          </cell>
          <cell r="R89">
            <v>0.56000000000000005</v>
          </cell>
          <cell r="S89">
            <v>2.1</v>
          </cell>
          <cell r="T89">
            <v>26.6</v>
          </cell>
          <cell r="U89">
            <v>10</v>
          </cell>
        </row>
        <row r="90">
          <cell r="A90" t="str">
            <v>AKM52E</v>
          </cell>
          <cell r="B90">
            <v>21.3</v>
          </cell>
          <cell r="C90">
            <v>9</v>
          </cell>
          <cell r="D90">
            <v>8.34</v>
          </cell>
          <cell r="E90">
            <v>2.99</v>
          </cell>
          <cell r="L90">
            <v>7.61</v>
          </cell>
          <cell r="M90">
            <v>1500</v>
          </cell>
          <cell r="N90">
            <v>7.28</v>
          </cell>
          <cell r="O90">
            <v>2000</v>
          </cell>
          <cell r="P90">
            <v>6000</v>
          </cell>
          <cell r="Q90">
            <v>6.22</v>
          </cell>
          <cell r="R90">
            <v>8.59</v>
          </cell>
          <cell r="S90">
            <v>44.7</v>
          </cell>
          <cell r="T90">
            <v>179</v>
          </cell>
          <cell r="U90">
            <v>10</v>
          </cell>
        </row>
        <row r="91">
          <cell r="A91" t="str">
            <v>AKM52G</v>
          </cell>
          <cell r="B91">
            <v>21.5</v>
          </cell>
          <cell r="C91">
            <v>14.2</v>
          </cell>
          <cell r="D91">
            <v>8.43</v>
          </cell>
          <cell r="E91">
            <v>4.72</v>
          </cell>
          <cell r="J91">
            <v>7.69</v>
          </cell>
          <cell r="K91">
            <v>1500</v>
          </cell>
          <cell r="L91">
            <v>7.06</v>
          </cell>
          <cell r="M91">
            <v>2500</v>
          </cell>
          <cell r="N91">
            <v>6.66</v>
          </cell>
          <cell r="O91">
            <v>3000</v>
          </cell>
          <cell r="P91">
            <v>6000</v>
          </cell>
          <cell r="Q91">
            <v>6.22</v>
          </cell>
          <cell r="R91">
            <v>3.47</v>
          </cell>
          <cell r="S91">
            <v>18.5</v>
          </cell>
          <cell r="T91">
            <v>115</v>
          </cell>
          <cell r="U91">
            <v>10</v>
          </cell>
        </row>
        <row r="92">
          <cell r="A92" t="str">
            <v>AKM52H</v>
          </cell>
          <cell r="B92">
            <v>21.6</v>
          </cell>
          <cell r="C92">
            <v>17.7</v>
          </cell>
          <cell r="D92">
            <v>8.48</v>
          </cell>
          <cell r="E92">
            <v>5.9</v>
          </cell>
          <cell r="J92">
            <v>7.53</v>
          </cell>
          <cell r="K92">
            <v>1800</v>
          </cell>
          <cell r="L92">
            <v>6.26</v>
          </cell>
          <cell r="M92">
            <v>3500</v>
          </cell>
          <cell r="N92">
            <v>5.77</v>
          </cell>
          <cell r="O92">
            <v>4000</v>
          </cell>
          <cell r="P92">
            <v>6000</v>
          </cell>
          <cell r="Q92">
            <v>6.2</v>
          </cell>
          <cell r="R92">
            <v>2.35</v>
          </cell>
          <cell r="S92">
            <v>11.9</v>
          </cell>
          <cell r="T92">
            <v>92.7</v>
          </cell>
          <cell r="U92">
            <v>10</v>
          </cell>
        </row>
        <row r="93">
          <cell r="A93" t="str">
            <v>AKM52I</v>
          </cell>
          <cell r="B93">
            <v>21.6</v>
          </cell>
          <cell r="C93">
            <v>22.2</v>
          </cell>
          <cell r="D93">
            <v>8.5299999999999994</v>
          </cell>
          <cell r="E93">
            <v>7.4</v>
          </cell>
          <cell r="J93">
            <v>5.79</v>
          </cell>
          <cell r="K93">
            <v>2250</v>
          </cell>
          <cell r="L93">
            <v>5.16</v>
          </cell>
          <cell r="M93">
            <v>4500</v>
          </cell>
          <cell r="N93">
            <v>4.51</v>
          </cell>
          <cell r="O93">
            <v>5000</v>
          </cell>
          <cell r="P93">
            <v>6000</v>
          </cell>
          <cell r="Q93">
            <v>6.2</v>
          </cell>
          <cell r="R93">
            <v>1.57</v>
          </cell>
          <cell r="S93">
            <v>7.8</v>
          </cell>
          <cell r="T93">
            <v>74.900000000000006</v>
          </cell>
          <cell r="U93">
            <v>10</v>
          </cell>
        </row>
        <row r="94">
          <cell r="A94" t="str">
            <v>AKM52K</v>
          </cell>
          <cell r="B94">
            <v>21.9</v>
          </cell>
          <cell r="C94">
            <v>27.9</v>
          </cell>
          <cell r="D94">
            <v>8.6</v>
          </cell>
          <cell r="E94">
            <v>9.3000000000000007</v>
          </cell>
          <cell r="J94">
            <v>6.8</v>
          </cell>
          <cell r="K94">
            <v>3000</v>
          </cell>
          <cell r="L94">
            <v>3.9</v>
          </cell>
          <cell r="M94">
            <v>5500</v>
          </cell>
          <cell r="N94">
            <v>3.25</v>
          </cell>
          <cell r="O94">
            <v>6000</v>
          </cell>
          <cell r="P94">
            <v>6000</v>
          </cell>
          <cell r="Q94">
            <v>6.22</v>
          </cell>
          <cell r="R94">
            <v>0.93</v>
          </cell>
          <cell r="S94">
            <v>5</v>
          </cell>
          <cell r="T94">
            <v>60.1</v>
          </cell>
          <cell r="U94">
            <v>10</v>
          </cell>
        </row>
        <row r="95">
          <cell r="A95" t="str">
            <v>AKM52L</v>
          </cell>
          <cell r="B95">
            <v>21.9</v>
          </cell>
          <cell r="C95">
            <v>35.700000000000003</v>
          </cell>
          <cell r="D95">
            <v>8.67</v>
          </cell>
          <cell r="E95">
            <v>11.6</v>
          </cell>
          <cell r="J95">
            <v>6.4</v>
          </cell>
          <cell r="K95">
            <v>3500</v>
          </cell>
          <cell r="L95">
            <v>3.27</v>
          </cell>
          <cell r="M95">
            <v>6000</v>
          </cell>
          <cell r="N95">
            <v>3.27</v>
          </cell>
          <cell r="O95">
            <v>6000</v>
          </cell>
          <cell r="P95">
            <v>6000</v>
          </cell>
          <cell r="Q95">
            <v>6.2</v>
          </cell>
          <cell r="R95">
            <v>0.61</v>
          </cell>
          <cell r="S95">
            <v>3.24</v>
          </cell>
          <cell r="T95">
            <v>48.3</v>
          </cell>
          <cell r="U95">
            <v>10</v>
          </cell>
        </row>
        <row r="96">
          <cell r="A96" t="str">
            <v>AKM52M</v>
          </cell>
          <cell r="B96">
            <v>21.9</v>
          </cell>
          <cell r="C96">
            <v>39.4</v>
          </cell>
          <cell r="D96">
            <v>8.6</v>
          </cell>
          <cell r="E96">
            <v>13.1</v>
          </cell>
          <cell r="J96">
            <v>5.2</v>
          </cell>
          <cell r="K96">
            <v>4500</v>
          </cell>
          <cell r="P96">
            <v>6000</v>
          </cell>
          <cell r="Q96">
            <v>6.22</v>
          </cell>
          <cell r="R96">
            <v>0.48</v>
          </cell>
          <cell r="S96">
            <v>2.5</v>
          </cell>
          <cell r="T96">
            <v>42.4</v>
          </cell>
          <cell r="U96">
            <v>10</v>
          </cell>
        </row>
        <row r="97">
          <cell r="A97" t="str">
            <v>AKM53G</v>
          </cell>
          <cell r="B97">
            <v>29.7</v>
          </cell>
          <cell r="C97">
            <v>14.3</v>
          </cell>
          <cell r="D97">
            <v>11.4</v>
          </cell>
          <cell r="E97">
            <v>4.7699999999999996</v>
          </cell>
          <cell r="J97">
            <v>10.7</v>
          </cell>
          <cell r="K97">
            <v>1000</v>
          </cell>
          <cell r="L97">
            <v>9.85</v>
          </cell>
          <cell r="M97">
            <v>2000</v>
          </cell>
          <cell r="N97">
            <v>9.5</v>
          </cell>
          <cell r="O97">
            <v>2400</v>
          </cell>
          <cell r="P97">
            <v>6000</v>
          </cell>
          <cell r="Q97">
            <v>9.1199999999999992</v>
          </cell>
          <cell r="R97">
            <v>3.75</v>
          </cell>
          <cell r="S97">
            <v>21.3</v>
          </cell>
          <cell r="T97">
            <v>154</v>
          </cell>
          <cell r="U97">
            <v>10</v>
          </cell>
        </row>
        <row r="98">
          <cell r="A98" t="str">
            <v>AKM53H</v>
          </cell>
          <cell r="B98">
            <v>30</v>
          </cell>
          <cell r="C98">
            <v>19.8</v>
          </cell>
          <cell r="D98">
            <v>11.51</v>
          </cell>
          <cell r="E98">
            <v>6.6</v>
          </cell>
          <cell r="L98">
            <v>8.83</v>
          </cell>
          <cell r="M98">
            <v>3000</v>
          </cell>
          <cell r="N98">
            <v>8.23</v>
          </cell>
          <cell r="O98">
            <v>3500</v>
          </cell>
          <cell r="P98">
            <v>6000</v>
          </cell>
          <cell r="Q98">
            <v>9.1</v>
          </cell>
          <cell r="R98">
            <v>2.1</v>
          </cell>
          <cell r="S98">
            <v>11.4</v>
          </cell>
          <cell r="T98">
            <v>112.4</v>
          </cell>
          <cell r="U98">
            <v>10</v>
          </cell>
        </row>
        <row r="99">
          <cell r="A99" t="str">
            <v>AKM53I</v>
          </cell>
          <cell r="B99">
            <v>30</v>
          </cell>
          <cell r="C99">
            <v>22.2</v>
          </cell>
          <cell r="D99">
            <v>11.58</v>
          </cell>
          <cell r="E99">
            <v>7.4</v>
          </cell>
          <cell r="J99">
            <v>10.28</v>
          </cell>
          <cell r="K99">
            <v>1750</v>
          </cell>
          <cell r="L99">
            <v>8.58</v>
          </cell>
          <cell r="M99">
            <v>3250</v>
          </cell>
          <cell r="N99">
            <v>7.63</v>
          </cell>
          <cell r="O99">
            <v>4000</v>
          </cell>
          <cell r="P99">
            <v>6000</v>
          </cell>
          <cell r="Q99">
            <v>9.1</v>
          </cell>
          <cell r="R99">
            <v>1.66</v>
          </cell>
          <cell r="S99">
            <v>9.11</v>
          </cell>
          <cell r="T99">
            <v>100.6</v>
          </cell>
          <cell r="U99">
            <v>10</v>
          </cell>
        </row>
        <row r="100">
          <cell r="A100" t="str">
            <v>AKM53K</v>
          </cell>
          <cell r="B100">
            <v>30.3</v>
          </cell>
          <cell r="C100">
            <v>28.2</v>
          </cell>
          <cell r="D100">
            <v>11.6</v>
          </cell>
          <cell r="E100">
            <v>9.4</v>
          </cell>
          <cell r="J100">
            <v>10.1</v>
          </cell>
          <cell r="K100">
            <v>2000</v>
          </cell>
          <cell r="L100">
            <v>7.65</v>
          </cell>
          <cell r="M100">
            <v>4000</v>
          </cell>
          <cell r="N100">
            <v>6.85</v>
          </cell>
          <cell r="O100">
            <v>4500</v>
          </cell>
          <cell r="P100">
            <v>6000</v>
          </cell>
          <cell r="Q100">
            <v>9.1199999999999992</v>
          </cell>
          <cell r="R100">
            <v>1</v>
          </cell>
          <cell r="S100">
            <v>5.7</v>
          </cell>
          <cell r="T100">
            <v>79.8</v>
          </cell>
          <cell r="U100">
            <v>10</v>
          </cell>
        </row>
        <row r="101">
          <cell r="A101" t="str">
            <v>AKM53L</v>
          </cell>
          <cell r="B101">
            <v>30.3</v>
          </cell>
          <cell r="C101">
            <v>37.6</v>
          </cell>
          <cell r="D101">
            <v>11.6</v>
          </cell>
          <cell r="E101">
            <v>11.8</v>
          </cell>
          <cell r="J101">
            <v>8.9</v>
          </cell>
          <cell r="K101">
            <v>3000</v>
          </cell>
          <cell r="L101">
            <v>5.0599999999999996</v>
          </cell>
          <cell r="M101">
            <v>5500</v>
          </cell>
          <cell r="N101">
            <v>4.05</v>
          </cell>
          <cell r="O101">
            <v>6000</v>
          </cell>
          <cell r="P101">
            <v>6000</v>
          </cell>
          <cell r="Q101">
            <v>9.1</v>
          </cell>
          <cell r="R101">
            <v>0.69</v>
          </cell>
          <cell r="S101">
            <v>3.64</v>
          </cell>
          <cell r="T101">
            <v>63.6</v>
          </cell>
          <cell r="U101">
            <v>10</v>
          </cell>
        </row>
        <row r="102">
          <cell r="A102" t="str">
            <v>AKM53M</v>
          </cell>
          <cell r="B102">
            <v>29.7</v>
          </cell>
          <cell r="C102">
            <v>40.200000000000003</v>
          </cell>
          <cell r="D102">
            <v>11.4</v>
          </cell>
          <cell r="E102">
            <v>13.4</v>
          </cell>
          <cell r="J102">
            <v>8.7200000000000006</v>
          </cell>
          <cell r="K102">
            <v>3000</v>
          </cell>
          <cell r="P102">
            <v>6000</v>
          </cell>
          <cell r="Q102">
            <v>9.1199999999999992</v>
          </cell>
          <cell r="R102">
            <v>0.51</v>
          </cell>
          <cell r="S102">
            <v>2.7</v>
          </cell>
          <cell r="T102">
            <v>54.7</v>
          </cell>
          <cell r="U102">
            <v>10</v>
          </cell>
        </row>
        <row r="103">
          <cell r="A103" t="str">
            <v>AKM53P</v>
          </cell>
          <cell r="B103">
            <v>29.8</v>
          </cell>
          <cell r="C103">
            <v>57.4</v>
          </cell>
          <cell r="D103">
            <v>11.4</v>
          </cell>
          <cell r="E103">
            <v>19.100000000000001</v>
          </cell>
          <cell r="J103">
            <v>5.88</v>
          </cell>
          <cell r="K103">
            <v>5000</v>
          </cell>
          <cell r="P103">
            <v>6000</v>
          </cell>
          <cell r="Q103">
            <v>9.1199999999999992</v>
          </cell>
          <cell r="R103">
            <v>0.27</v>
          </cell>
          <cell r="S103">
            <v>1.3</v>
          </cell>
          <cell r="T103">
            <v>38.4</v>
          </cell>
          <cell r="U103">
            <v>10</v>
          </cell>
        </row>
        <row r="104">
          <cell r="A104" t="str">
            <v>AKM53Q</v>
          </cell>
          <cell r="B104">
            <v>29.8</v>
          </cell>
          <cell r="C104">
            <v>63.3</v>
          </cell>
          <cell r="D104">
            <v>11.57</v>
          </cell>
          <cell r="E104">
            <v>21.1</v>
          </cell>
          <cell r="H104">
            <v>9.58</v>
          </cell>
          <cell r="I104">
            <v>2500</v>
          </cell>
          <cell r="J104">
            <v>4.99</v>
          </cell>
          <cell r="K104">
            <v>5500</v>
          </cell>
          <cell r="P104">
            <v>6000</v>
          </cell>
          <cell r="Q104">
            <v>9.1</v>
          </cell>
          <cell r="R104">
            <v>0.25</v>
          </cell>
          <cell r="S104">
            <v>1.1299999999999999</v>
          </cell>
          <cell r="T104">
            <v>35.5</v>
          </cell>
          <cell r="U104">
            <v>10</v>
          </cell>
        </row>
        <row r="105">
          <cell r="A105" t="str">
            <v>AKM54G</v>
          </cell>
          <cell r="B105">
            <v>38</v>
          </cell>
          <cell r="C105">
            <v>15</v>
          </cell>
          <cell r="D105">
            <v>14.3</v>
          </cell>
          <cell r="E105">
            <v>4.9800000000000004</v>
          </cell>
          <cell r="L105">
            <v>12.9</v>
          </cell>
          <cell r="M105">
            <v>1500</v>
          </cell>
          <cell r="N105">
            <v>12.3</v>
          </cell>
          <cell r="O105">
            <v>2000</v>
          </cell>
          <cell r="P105">
            <v>6000</v>
          </cell>
          <cell r="Q105">
            <v>11.9</v>
          </cell>
          <cell r="R105">
            <v>3.8</v>
          </cell>
          <cell r="S105">
            <v>22.9</v>
          </cell>
          <cell r="T105">
            <v>185</v>
          </cell>
          <cell r="U105">
            <v>10</v>
          </cell>
        </row>
        <row r="106">
          <cell r="A106" t="str">
            <v>AKM54H</v>
          </cell>
          <cell r="B106">
            <v>37.5</v>
          </cell>
          <cell r="C106">
            <v>16.5</v>
          </cell>
          <cell r="D106">
            <v>14.19</v>
          </cell>
          <cell r="E106">
            <v>5.5</v>
          </cell>
          <cell r="J106">
            <v>13.35</v>
          </cell>
          <cell r="K106">
            <v>1000</v>
          </cell>
          <cell r="L106">
            <v>12.6</v>
          </cell>
          <cell r="M106">
            <v>1800</v>
          </cell>
          <cell r="N106">
            <v>12.22</v>
          </cell>
          <cell r="O106">
            <v>2000</v>
          </cell>
          <cell r="P106">
            <v>6000</v>
          </cell>
          <cell r="Q106">
            <v>12</v>
          </cell>
          <cell r="R106">
            <v>3.2</v>
          </cell>
          <cell r="S106">
            <v>18.3</v>
          </cell>
          <cell r="T106">
            <v>165.6</v>
          </cell>
          <cell r="U106">
            <v>10</v>
          </cell>
        </row>
        <row r="107">
          <cell r="A107" t="str">
            <v>AKM54I</v>
          </cell>
          <cell r="B107">
            <v>38</v>
          </cell>
          <cell r="C107">
            <v>23.1</v>
          </cell>
          <cell r="D107">
            <v>14.42</v>
          </cell>
          <cell r="E107">
            <v>7.7</v>
          </cell>
          <cell r="J107">
            <v>13.07</v>
          </cell>
          <cell r="K107">
            <v>1500</v>
          </cell>
          <cell r="L107">
            <v>11.71</v>
          </cell>
          <cell r="M107">
            <v>2500</v>
          </cell>
          <cell r="N107">
            <v>10.81</v>
          </cell>
          <cell r="O107">
            <v>3000</v>
          </cell>
          <cell r="P107">
            <v>6000</v>
          </cell>
          <cell r="Q107">
            <v>12</v>
          </cell>
          <cell r="R107">
            <v>1.66</v>
          </cell>
          <cell r="S107">
            <v>9.84</v>
          </cell>
          <cell r="T107">
            <v>120.3</v>
          </cell>
          <cell r="U107">
            <v>10</v>
          </cell>
        </row>
        <row r="108">
          <cell r="A108" t="str">
            <v>AKM54K</v>
          </cell>
          <cell r="B108">
            <v>38.4</v>
          </cell>
          <cell r="C108">
            <v>29.2</v>
          </cell>
          <cell r="D108">
            <v>14.4</v>
          </cell>
          <cell r="E108">
            <v>9.6999999999999993</v>
          </cell>
          <cell r="J108">
            <v>12.7</v>
          </cell>
          <cell r="K108">
            <v>1800</v>
          </cell>
          <cell r="L108">
            <v>10.1</v>
          </cell>
          <cell r="M108">
            <v>3500</v>
          </cell>
          <cell r="N108">
            <v>9.25</v>
          </cell>
          <cell r="O108">
            <v>4000</v>
          </cell>
          <cell r="P108">
            <v>8000</v>
          </cell>
          <cell r="Q108">
            <v>11.9</v>
          </cell>
          <cell r="R108">
            <v>1.02</v>
          </cell>
          <cell r="S108">
            <v>6.2</v>
          </cell>
          <cell r="T108">
            <v>96.6</v>
          </cell>
          <cell r="U108">
            <v>10</v>
          </cell>
        </row>
        <row r="109">
          <cell r="A109" t="str">
            <v>AKM54L</v>
          </cell>
          <cell r="B109">
            <v>37.5</v>
          </cell>
          <cell r="C109">
            <v>37.5</v>
          </cell>
          <cell r="D109">
            <v>14.1</v>
          </cell>
          <cell r="E109">
            <v>12.5</v>
          </cell>
          <cell r="J109">
            <v>11.5</v>
          </cell>
          <cell r="K109">
            <v>2500</v>
          </cell>
          <cell r="L109">
            <v>8.1300000000000008</v>
          </cell>
          <cell r="M109">
            <v>4500</v>
          </cell>
          <cell r="P109">
            <v>6000</v>
          </cell>
          <cell r="Q109">
            <v>11.9</v>
          </cell>
          <cell r="R109">
            <v>0.63</v>
          </cell>
          <cell r="S109">
            <v>3.5</v>
          </cell>
          <cell r="T109">
            <v>72.900000000000006</v>
          </cell>
          <cell r="U109">
            <v>10</v>
          </cell>
        </row>
        <row r="110">
          <cell r="A110" t="str">
            <v>AKM54N</v>
          </cell>
          <cell r="B110">
            <v>37.6</v>
          </cell>
          <cell r="C110">
            <v>53.4</v>
          </cell>
          <cell r="D110">
            <v>14.1</v>
          </cell>
          <cell r="E110">
            <v>17.8</v>
          </cell>
          <cell r="J110">
            <v>9.85</v>
          </cell>
          <cell r="K110">
            <v>3500</v>
          </cell>
          <cell r="P110">
            <v>8000</v>
          </cell>
          <cell r="Q110">
            <v>11.9</v>
          </cell>
          <cell r="R110">
            <v>0.33</v>
          </cell>
          <cell r="S110">
            <v>1.8</v>
          </cell>
          <cell r="T110">
            <v>51.3</v>
          </cell>
          <cell r="U110">
            <v>10</v>
          </cell>
        </row>
        <row r="111">
          <cell r="A111" t="str">
            <v>AKM54P</v>
          </cell>
          <cell r="B111">
            <v>38</v>
          </cell>
          <cell r="C111">
            <v>58.8</v>
          </cell>
          <cell r="D111">
            <v>14.36</v>
          </cell>
          <cell r="E111">
            <v>19.600000000000001</v>
          </cell>
          <cell r="J111">
            <v>9.23</v>
          </cell>
          <cell r="K111">
            <v>4000</v>
          </cell>
          <cell r="P111">
            <v>6000</v>
          </cell>
          <cell r="Q111">
            <v>12</v>
          </cell>
          <cell r="R111">
            <v>0.3</v>
          </cell>
          <cell r="S111">
            <v>1.5</v>
          </cell>
          <cell r="T111">
            <v>47.3</v>
          </cell>
          <cell r="U111">
            <v>10</v>
          </cell>
        </row>
        <row r="112">
          <cell r="A112" t="str">
            <v>AKM62G</v>
          </cell>
          <cell r="B112">
            <v>29.7</v>
          </cell>
          <cell r="C112">
            <v>14.7</v>
          </cell>
          <cell r="D112">
            <v>11.9</v>
          </cell>
          <cell r="E112">
            <v>4.8499999999999996</v>
          </cell>
          <cell r="L112">
            <v>10.7</v>
          </cell>
          <cell r="M112">
            <v>1800</v>
          </cell>
          <cell r="N112">
            <v>10.199999999999999</v>
          </cell>
          <cell r="O112">
            <v>2000</v>
          </cell>
          <cell r="P112">
            <v>6000</v>
          </cell>
          <cell r="Q112">
            <v>16.899999999999999</v>
          </cell>
          <cell r="R112">
            <v>3.94</v>
          </cell>
          <cell r="S112">
            <v>31.7</v>
          </cell>
          <cell r="T112">
            <v>159</v>
          </cell>
          <cell r="U112">
            <v>10</v>
          </cell>
        </row>
        <row r="113">
          <cell r="A113" t="str">
            <v>AKM62H</v>
          </cell>
          <cell r="B113">
            <v>29.7</v>
          </cell>
          <cell r="C113">
            <v>16.399999999999999</v>
          </cell>
          <cell r="D113">
            <v>11.9</v>
          </cell>
          <cell r="E113">
            <v>5.4</v>
          </cell>
          <cell r="J113">
            <v>11.2</v>
          </cell>
          <cell r="K113">
            <v>1000</v>
          </cell>
          <cell r="L113">
            <v>10.199999999999999</v>
          </cell>
          <cell r="M113">
            <v>2000</v>
          </cell>
          <cell r="N113">
            <v>9.9</v>
          </cell>
          <cell r="O113">
            <v>2400</v>
          </cell>
          <cell r="P113">
            <v>6000</v>
          </cell>
          <cell r="Q113">
            <v>17</v>
          </cell>
          <cell r="R113">
            <v>3.3</v>
          </cell>
          <cell r="S113">
            <v>25.4</v>
          </cell>
          <cell r="T113">
            <v>142.1</v>
          </cell>
          <cell r="U113">
            <v>10</v>
          </cell>
        </row>
        <row r="114">
          <cell r="A114" t="str">
            <v>AKM62I</v>
          </cell>
          <cell r="B114">
            <v>29.9</v>
          </cell>
          <cell r="C114">
            <v>22.8</v>
          </cell>
          <cell r="D114">
            <v>12.1</v>
          </cell>
          <cell r="E114">
            <v>7.6</v>
          </cell>
          <cell r="J114">
            <v>10.8</v>
          </cell>
          <cell r="K114">
            <v>1500</v>
          </cell>
          <cell r="L114">
            <v>9.4</v>
          </cell>
          <cell r="M114">
            <v>3000</v>
          </cell>
          <cell r="N114">
            <v>8.9</v>
          </cell>
          <cell r="O114">
            <v>3500</v>
          </cell>
          <cell r="P114">
            <v>6000</v>
          </cell>
          <cell r="Q114">
            <v>17</v>
          </cell>
          <cell r="R114">
            <v>1.75</v>
          </cell>
          <cell r="S114">
            <v>13.4</v>
          </cell>
          <cell r="T114">
            <v>103.2</v>
          </cell>
          <cell r="U114">
            <v>10</v>
          </cell>
        </row>
        <row r="115">
          <cell r="A115" t="str">
            <v>AKM62K</v>
          </cell>
          <cell r="B115">
            <v>30.2</v>
          </cell>
          <cell r="C115">
            <v>28.8</v>
          </cell>
          <cell r="D115">
            <v>12.2</v>
          </cell>
          <cell r="E115">
            <v>9.6</v>
          </cell>
          <cell r="J115">
            <v>10.4</v>
          </cell>
          <cell r="K115">
            <v>2000</v>
          </cell>
          <cell r="L115">
            <v>9.01</v>
          </cell>
          <cell r="M115">
            <v>3500</v>
          </cell>
          <cell r="N115">
            <v>8.02</v>
          </cell>
          <cell r="O115">
            <v>4500</v>
          </cell>
          <cell r="P115">
            <v>6000</v>
          </cell>
          <cell r="Q115">
            <v>16.899999999999999</v>
          </cell>
          <cell r="R115">
            <v>1.05</v>
          </cell>
          <cell r="S115">
            <v>8.5</v>
          </cell>
          <cell r="T115">
            <v>82.1</v>
          </cell>
          <cell r="U115">
            <v>10</v>
          </cell>
        </row>
        <row r="116">
          <cell r="A116" t="str">
            <v>AKM62L</v>
          </cell>
          <cell r="B116">
            <v>30.2</v>
          </cell>
          <cell r="C116">
            <v>36</v>
          </cell>
          <cell r="D116">
            <v>12.2</v>
          </cell>
          <cell r="E116">
            <v>12</v>
          </cell>
          <cell r="J116">
            <v>10</v>
          </cell>
          <cell r="K116">
            <v>2500</v>
          </cell>
          <cell r="L116">
            <v>7.42</v>
          </cell>
          <cell r="M116">
            <v>5000</v>
          </cell>
          <cell r="N116">
            <v>5.74</v>
          </cell>
          <cell r="O116">
            <v>6000</v>
          </cell>
          <cell r="P116">
            <v>6000</v>
          </cell>
          <cell r="Q116">
            <v>17</v>
          </cell>
          <cell r="R116">
            <v>0.74</v>
          </cell>
          <cell r="S116">
            <v>5.4</v>
          </cell>
          <cell r="T116">
            <v>65.5</v>
          </cell>
          <cell r="U116">
            <v>10</v>
          </cell>
        </row>
        <row r="117">
          <cell r="A117" t="str">
            <v>AKM62M</v>
          </cell>
          <cell r="B117">
            <v>30.2</v>
          </cell>
          <cell r="C117">
            <v>40.299999999999997</v>
          </cell>
          <cell r="D117">
            <v>12.2</v>
          </cell>
          <cell r="E117">
            <v>13.4</v>
          </cell>
          <cell r="J117">
            <v>9.5</v>
          </cell>
          <cell r="K117">
            <v>3000</v>
          </cell>
          <cell r="L117">
            <v>5.74</v>
          </cell>
          <cell r="M117">
            <v>6000</v>
          </cell>
          <cell r="N117">
            <v>5.74</v>
          </cell>
          <cell r="O117">
            <v>6000</v>
          </cell>
          <cell r="P117">
            <v>6000</v>
          </cell>
          <cell r="Q117">
            <v>16.899999999999999</v>
          </cell>
          <cell r="R117">
            <v>0.55000000000000004</v>
          </cell>
          <cell r="S117">
            <v>4.4000000000000004</v>
          </cell>
          <cell r="T117">
            <v>58.8</v>
          </cell>
          <cell r="U117">
            <v>10</v>
          </cell>
        </row>
        <row r="118">
          <cell r="A118" t="str">
            <v>AKM62P</v>
          </cell>
          <cell r="B118">
            <v>30.3</v>
          </cell>
          <cell r="C118">
            <v>56.4</v>
          </cell>
          <cell r="D118">
            <v>12.3</v>
          </cell>
          <cell r="E118">
            <v>18.8</v>
          </cell>
          <cell r="J118">
            <v>8.1</v>
          </cell>
          <cell r="K118">
            <v>4500</v>
          </cell>
          <cell r="P118">
            <v>6000</v>
          </cell>
          <cell r="Q118">
            <v>16.899999999999999</v>
          </cell>
          <cell r="R118">
            <v>0.3</v>
          </cell>
          <cell r="S118">
            <v>2.2000000000000002</v>
          </cell>
          <cell r="T118">
            <v>42.2</v>
          </cell>
          <cell r="U118">
            <v>10</v>
          </cell>
        </row>
        <row r="119">
          <cell r="A119" t="str">
            <v>AKM62Q</v>
          </cell>
          <cell r="B119">
            <v>30.3</v>
          </cell>
          <cell r="C119">
            <v>67</v>
          </cell>
          <cell r="D119">
            <v>12</v>
          </cell>
          <cell r="E119">
            <v>21.8</v>
          </cell>
          <cell r="J119">
            <v>6.5</v>
          </cell>
          <cell r="K119">
            <v>5500</v>
          </cell>
          <cell r="P119">
            <v>6000</v>
          </cell>
          <cell r="Q119">
            <v>17</v>
          </cell>
          <cell r="R119">
            <v>0.27</v>
          </cell>
          <cell r="S119">
            <v>1.6</v>
          </cell>
          <cell r="T119">
            <v>35.5</v>
          </cell>
          <cell r="U119">
            <v>10</v>
          </cell>
        </row>
        <row r="120">
          <cell r="A120" t="str">
            <v>AKM63G</v>
          </cell>
          <cell r="B120">
            <v>42.1</v>
          </cell>
          <cell r="C120">
            <v>13.5</v>
          </cell>
          <cell r="D120">
            <v>16.5</v>
          </cell>
          <cell r="E120">
            <v>4.4800000000000004</v>
          </cell>
          <cell r="L120">
            <v>15.3</v>
          </cell>
          <cell r="M120">
            <v>1200</v>
          </cell>
          <cell r="N120">
            <v>14.6</v>
          </cell>
          <cell r="O120">
            <v>1500</v>
          </cell>
          <cell r="P120">
            <v>6000</v>
          </cell>
          <cell r="Q120">
            <v>24.2</v>
          </cell>
          <cell r="R120">
            <v>5.16</v>
          </cell>
          <cell r="S120">
            <v>43.5</v>
          </cell>
          <cell r="T120">
            <v>238</v>
          </cell>
          <cell r="U120">
            <v>10</v>
          </cell>
        </row>
        <row r="121">
          <cell r="A121" t="str">
            <v>AKM63H</v>
          </cell>
          <cell r="B121">
            <v>42.2</v>
          </cell>
          <cell r="C121">
            <v>17.5</v>
          </cell>
          <cell r="D121">
            <v>16.600000000000001</v>
          </cell>
          <cell r="E121">
            <v>5.6</v>
          </cell>
          <cell r="L121">
            <v>14.6</v>
          </cell>
          <cell r="M121">
            <v>1500</v>
          </cell>
          <cell r="N121">
            <v>14.2</v>
          </cell>
          <cell r="O121">
            <v>1800</v>
          </cell>
          <cell r="P121">
            <v>6000</v>
          </cell>
          <cell r="Q121">
            <v>24</v>
          </cell>
          <cell r="R121">
            <v>3.43</v>
          </cell>
          <cell r="S121">
            <v>28.1</v>
          </cell>
          <cell r="T121">
            <v>191.5</v>
          </cell>
          <cell r="U121">
            <v>10</v>
          </cell>
        </row>
        <row r="122">
          <cell r="A122" t="str">
            <v>AKM63I</v>
          </cell>
          <cell r="B122">
            <v>42.2</v>
          </cell>
          <cell r="C122">
            <v>24.2</v>
          </cell>
          <cell r="D122">
            <v>16.8</v>
          </cell>
          <cell r="E122">
            <v>7.9</v>
          </cell>
          <cell r="J122">
            <v>15.3</v>
          </cell>
          <cell r="K122">
            <v>1200</v>
          </cell>
          <cell r="L122">
            <v>14.1</v>
          </cell>
          <cell r="M122">
            <v>2000</v>
          </cell>
          <cell r="N122">
            <v>13.5</v>
          </cell>
          <cell r="O122">
            <v>2500</v>
          </cell>
          <cell r="P122">
            <v>6000</v>
          </cell>
          <cell r="Q122">
            <v>24</v>
          </cell>
          <cell r="R122">
            <v>1.5</v>
          </cell>
          <cell r="S122">
            <v>14.6</v>
          </cell>
          <cell r="T122">
            <v>138.19999999999999</v>
          </cell>
          <cell r="U122">
            <v>10</v>
          </cell>
        </row>
        <row r="123">
          <cell r="A123" t="str">
            <v>AKM63K</v>
          </cell>
          <cell r="B123">
            <v>42.6</v>
          </cell>
          <cell r="C123">
            <v>29.7</v>
          </cell>
          <cell r="D123">
            <v>16.8</v>
          </cell>
          <cell r="E123">
            <v>9.9</v>
          </cell>
          <cell r="J123">
            <v>14.9</v>
          </cell>
          <cell r="K123">
            <v>1500</v>
          </cell>
          <cell r="L123">
            <v>12.9</v>
          </cell>
          <cell r="M123">
            <v>3000</v>
          </cell>
          <cell r="N123">
            <v>12</v>
          </cell>
          <cell r="O123">
            <v>3500</v>
          </cell>
          <cell r="P123">
            <v>6000</v>
          </cell>
          <cell r="Q123">
            <v>24.2</v>
          </cell>
          <cell r="R123">
            <v>1.0900000000000001</v>
          </cell>
          <cell r="S123">
            <v>9.3000000000000007</v>
          </cell>
          <cell r="T123">
            <v>110</v>
          </cell>
          <cell r="U123">
            <v>10</v>
          </cell>
        </row>
        <row r="124">
          <cell r="A124" t="str">
            <v>AKM63L</v>
          </cell>
          <cell r="B124">
            <v>42.6</v>
          </cell>
          <cell r="C124">
            <v>34.299999999999997</v>
          </cell>
          <cell r="D124">
            <v>16.8</v>
          </cell>
          <cell r="E124">
            <v>11.1</v>
          </cell>
          <cell r="J124">
            <v>14.4</v>
          </cell>
          <cell r="K124">
            <v>1800</v>
          </cell>
          <cell r="L124">
            <v>12.9</v>
          </cell>
          <cell r="M124">
            <v>3000</v>
          </cell>
          <cell r="N124">
            <v>12</v>
          </cell>
          <cell r="O124">
            <v>3500</v>
          </cell>
          <cell r="P124">
            <v>6000</v>
          </cell>
          <cell r="Q124">
            <v>24</v>
          </cell>
          <cell r="R124">
            <v>0.94</v>
          </cell>
          <cell r="S124">
            <v>7.4</v>
          </cell>
          <cell r="T124">
            <v>98.2</v>
          </cell>
          <cell r="U124">
            <v>10</v>
          </cell>
        </row>
        <row r="125">
          <cell r="A125" t="str">
            <v>AKM63M</v>
          </cell>
          <cell r="B125">
            <v>43</v>
          </cell>
          <cell r="C125">
            <v>41.4</v>
          </cell>
          <cell r="D125">
            <v>17</v>
          </cell>
          <cell r="E125">
            <v>13.8</v>
          </cell>
          <cell r="J125">
            <v>14.3</v>
          </cell>
          <cell r="K125">
            <v>2000</v>
          </cell>
          <cell r="L125">
            <v>11.3</v>
          </cell>
          <cell r="M125">
            <v>4000</v>
          </cell>
          <cell r="N125">
            <v>10.5</v>
          </cell>
          <cell r="O125">
            <v>4500</v>
          </cell>
          <cell r="P125">
            <v>6000</v>
          </cell>
          <cell r="Q125">
            <v>24.2</v>
          </cell>
          <cell r="R125">
            <v>0.57999999999999996</v>
          </cell>
          <cell r="S125">
            <v>4.9000000000000004</v>
          </cell>
          <cell r="T125">
            <v>79.900000000000006</v>
          </cell>
          <cell r="U125">
            <v>10</v>
          </cell>
        </row>
        <row r="126">
          <cell r="A126" t="str">
            <v>AKM63N</v>
          </cell>
          <cell r="B126">
            <v>43</v>
          </cell>
          <cell r="C126">
            <v>52.2</v>
          </cell>
          <cell r="D126">
            <v>17</v>
          </cell>
          <cell r="E126">
            <v>17.399999999999999</v>
          </cell>
          <cell r="J126">
            <v>13</v>
          </cell>
          <cell r="K126">
            <v>3000</v>
          </cell>
          <cell r="L126">
            <v>9.6</v>
          </cell>
          <cell r="M126">
            <v>5000</v>
          </cell>
          <cell r="N126">
            <v>7</v>
          </cell>
          <cell r="O126">
            <v>6000</v>
          </cell>
          <cell r="P126">
            <v>6000</v>
          </cell>
          <cell r="Q126">
            <v>24.2</v>
          </cell>
          <cell r="R126">
            <v>0.38</v>
          </cell>
          <cell r="S126">
            <v>3.1</v>
          </cell>
          <cell r="T126">
            <v>63.3</v>
          </cell>
          <cell r="U126">
            <v>10</v>
          </cell>
        </row>
        <row r="127">
          <cell r="A127" t="str">
            <v>AKM63Q</v>
          </cell>
          <cell r="B127">
            <v>43</v>
          </cell>
          <cell r="C127">
            <v>70.3</v>
          </cell>
          <cell r="D127">
            <v>16.7</v>
          </cell>
          <cell r="E127">
            <v>22.4</v>
          </cell>
          <cell r="J127">
            <v>11.9</v>
          </cell>
          <cell r="K127">
            <v>3500</v>
          </cell>
          <cell r="P127">
            <v>6000</v>
          </cell>
          <cell r="Q127">
            <v>24</v>
          </cell>
          <cell r="R127">
            <v>0.23</v>
          </cell>
          <cell r="S127">
            <v>1.8</v>
          </cell>
          <cell r="T127">
            <v>48.3</v>
          </cell>
          <cell r="U127">
            <v>10</v>
          </cell>
        </row>
        <row r="128">
          <cell r="A128" t="str">
            <v>AKM64K</v>
          </cell>
          <cell r="B128">
            <v>53.5</v>
          </cell>
          <cell r="C128">
            <v>27.6</v>
          </cell>
          <cell r="D128">
            <v>20.8</v>
          </cell>
          <cell r="E128">
            <v>9.1999999999999993</v>
          </cell>
          <cell r="J128">
            <v>19.2</v>
          </cell>
          <cell r="K128">
            <v>1200</v>
          </cell>
          <cell r="L128">
            <v>17.2</v>
          </cell>
          <cell r="M128">
            <v>2000</v>
          </cell>
          <cell r="N128">
            <v>16.3</v>
          </cell>
          <cell r="O128">
            <v>2500</v>
          </cell>
          <cell r="P128">
            <v>6000</v>
          </cell>
          <cell r="Q128">
            <v>31.6</v>
          </cell>
          <cell r="R128">
            <v>1.34</v>
          </cell>
          <cell r="S128">
            <v>11.8</v>
          </cell>
          <cell r="T128">
            <v>147</v>
          </cell>
          <cell r="U128">
            <v>10</v>
          </cell>
        </row>
        <row r="129">
          <cell r="A129" t="str">
            <v>AKM64L</v>
          </cell>
          <cell r="B129">
            <v>54.1</v>
          </cell>
          <cell r="C129">
            <v>38.4</v>
          </cell>
          <cell r="D129">
            <v>21</v>
          </cell>
          <cell r="E129">
            <v>12.8</v>
          </cell>
          <cell r="J129">
            <v>18.399999999999999</v>
          </cell>
          <cell r="K129">
            <v>1500</v>
          </cell>
          <cell r="L129">
            <v>15.6</v>
          </cell>
          <cell r="M129">
            <v>3000</v>
          </cell>
          <cell r="N129">
            <v>14.4</v>
          </cell>
          <cell r="O129">
            <v>3500</v>
          </cell>
          <cell r="P129">
            <v>6000</v>
          </cell>
          <cell r="Q129">
            <v>31.6</v>
          </cell>
          <cell r="R129">
            <v>0.71</v>
          </cell>
          <cell r="S129">
            <v>6.2</v>
          </cell>
          <cell r="T129">
            <v>107</v>
          </cell>
          <cell r="U129">
            <v>10</v>
          </cell>
        </row>
        <row r="130">
          <cell r="A130" t="str">
            <v>AKM64P</v>
          </cell>
          <cell r="B130">
            <v>52.9</v>
          </cell>
          <cell r="C130">
            <v>55.9</v>
          </cell>
          <cell r="D130">
            <v>20.399999999999999</v>
          </cell>
          <cell r="E130">
            <v>18.600000000000001</v>
          </cell>
          <cell r="J130">
            <v>16</v>
          </cell>
          <cell r="K130">
            <v>2500</v>
          </cell>
          <cell r="L130">
            <v>11.9</v>
          </cell>
          <cell r="M130">
            <v>4500</v>
          </cell>
          <cell r="N130">
            <v>9.02</v>
          </cell>
          <cell r="O130">
            <v>5500</v>
          </cell>
          <cell r="P130">
            <v>6000</v>
          </cell>
          <cell r="Q130">
            <v>31.6</v>
          </cell>
          <cell r="R130">
            <v>0.36</v>
          </cell>
          <cell r="S130">
            <v>2.8</v>
          </cell>
          <cell r="T130">
            <v>71</v>
          </cell>
          <cell r="U130">
            <v>10</v>
          </cell>
        </row>
        <row r="131">
          <cell r="A131" t="str">
            <v>AKM64Q</v>
          </cell>
          <cell r="B131">
            <v>53.2</v>
          </cell>
          <cell r="C131">
            <v>62.1</v>
          </cell>
          <cell r="D131">
            <v>20</v>
          </cell>
          <cell r="E131">
            <v>20.7</v>
          </cell>
          <cell r="J131">
            <v>15.3</v>
          </cell>
          <cell r="K131">
            <v>3000</v>
          </cell>
          <cell r="L131">
            <v>10.7</v>
          </cell>
          <cell r="M131">
            <v>5000</v>
          </cell>
          <cell r="N131">
            <v>7.4</v>
          </cell>
          <cell r="O131">
            <v>6000</v>
          </cell>
          <cell r="P131">
            <v>6000</v>
          </cell>
          <cell r="Q131">
            <v>32</v>
          </cell>
          <cell r="R131">
            <v>0.32</v>
          </cell>
          <cell r="S131">
            <v>2.2999999999999998</v>
          </cell>
          <cell r="T131">
            <v>64.400000000000006</v>
          </cell>
          <cell r="U131">
            <v>10</v>
          </cell>
        </row>
        <row r="132">
          <cell r="A132" t="str">
            <v>AKM65K</v>
          </cell>
          <cell r="B132">
            <v>64.5</v>
          </cell>
          <cell r="C132">
            <v>29.4</v>
          </cell>
          <cell r="D132">
            <v>24.8</v>
          </cell>
          <cell r="E132">
            <v>9.8000000000000007</v>
          </cell>
          <cell r="J132">
            <v>22.8</v>
          </cell>
          <cell r="K132">
            <v>1000</v>
          </cell>
          <cell r="L132">
            <v>20.2</v>
          </cell>
          <cell r="M132">
            <v>2000</v>
          </cell>
          <cell r="N132">
            <v>19.7</v>
          </cell>
          <cell r="O132">
            <v>2200</v>
          </cell>
          <cell r="P132">
            <v>6000</v>
          </cell>
          <cell r="Q132">
            <v>40</v>
          </cell>
          <cell r="R132">
            <v>1.27</v>
          </cell>
          <cell r="S132">
            <v>11.4</v>
          </cell>
          <cell r="T132">
            <v>164</v>
          </cell>
          <cell r="U132">
            <v>10</v>
          </cell>
        </row>
        <row r="133">
          <cell r="A133" t="str">
            <v>AKM65M</v>
          </cell>
          <cell r="B133">
            <v>65.2</v>
          </cell>
          <cell r="C133">
            <v>40.799999999999997</v>
          </cell>
          <cell r="D133">
            <v>25</v>
          </cell>
          <cell r="E133">
            <v>13.6</v>
          </cell>
          <cell r="J133">
            <v>21.9</v>
          </cell>
          <cell r="K133">
            <v>1500</v>
          </cell>
          <cell r="L133">
            <v>19.2</v>
          </cell>
          <cell r="M133">
            <v>2500</v>
          </cell>
          <cell r="N133">
            <v>18.100000000000001</v>
          </cell>
          <cell r="O133">
            <v>3000</v>
          </cell>
          <cell r="P133">
            <v>6000</v>
          </cell>
          <cell r="Q133">
            <v>40</v>
          </cell>
          <cell r="R133">
            <v>0.68</v>
          </cell>
          <cell r="S133">
            <v>6.1</v>
          </cell>
          <cell r="T133">
            <v>119</v>
          </cell>
          <cell r="U133">
            <v>10</v>
          </cell>
        </row>
        <row r="134">
          <cell r="A134" t="str">
            <v>AKM65N</v>
          </cell>
          <cell r="B134">
            <v>63.7</v>
          </cell>
          <cell r="C134">
            <v>53.4</v>
          </cell>
          <cell r="D134">
            <v>24.3</v>
          </cell>
          <cell r="E134">
            <v>17.8</v>
          </cell>
          <cell r="J134">
            <v>19.8</v>
          </cell>
          <cell r="K134">
            <v>2000</v>
          </cell>
          <cell r="L134">
            <v>16</v>
          </cell>
          <cell r="M134">
            <v>3500</v>
          </cell>
          <cell r="N134">
            <v>14.7</v>
          </cell>
          <cell r="O134">
            <v>4000</v>
          </cell>
          <cell r="P134">
            <v>6000</v>
          </cell>
          <cell r="Q134">
            <v>40</v>
          </cell>
          <cell r="R134">
            <v>0.42</v>
          </cell>
          <cell r="S134">
            <v>3.4</v>
          </cell>
          <cell r="T134">
            <v>88.8</v>
          </cell>
          <cell r="U134">
            <v>10</v>
          </cell>
        </row>
        <row r="135">
          <cell r="A135" t="str">
            <v>AKM65L</v>
          </cell>
          <cell r="B135">
            <v>63.7</v>
          </cell>
          <cell r="C135">
            <v>38</v>
          </cell>
          <cell r="D135">
            <v>25</v>
          </cell>
          <cell r="E135">
            <v>12.2</v>
          </cell>
          <cell r="J135">
            <v>22.4</v>
          </cell>
          <cell r="K135">
            <v>1300</v>
          </cell>
          <cell r="L135">
            <v>19.2</v>
          </cell>
          <cell r="M135">
            <v>2500</v>
          </cell>
          <cell r="N135">
            <v>18.3</v>
          </cell>
          <cell r="O135">
            <v>2800</v>
          </cell>
          <cell r="P135">
            <v>6000</v>
          </cell>
          <cell r="Q135">
            <v>40</v>
          </cell>
          <cell r="R135">
            <v>0.9</v>
          </cell>
          <cell r="S135">
            <v>7.6</v>
          </cell>
          <cell r="T135">
            <v>133.19999999999999</v>
          </cell>
          <cell r="U135">
            <v>10</v>
          </cell>
        </row>
        <row r="136">
          <cell r="A136" t="str">
            <v>AKM65P</v>
          </cell>
          <cell r="B136">
            <v>64.099999999999994</v>
          </cell>
          <cell r="C136">
            <v>59.3</v>
          </cell>
          <cell r="D136">
            <v>24.5</v>
          </cell>
          <cell r="E136">
            <v>19.8</v>
          </cell>
          <cell r="J136">
            <v>19.100000000000001</v>
          </cell>
          <cell r="K136">
            <v>2400</v>
          </cell>
          <cell r="L136">
            <v>14.9</v>
          </cell>
          <cell r="M136">
            <v>4000</v>
          </cell>
          <cell r="N136">
            <v>11.6</v>
          </cell>
          <cell r="O136">
            <v>5000</v>
          </cell>
          <cell r="P136">
            <v>6000</v>
          </cell>
          <cell r="Q136">
            <v>40</v>
          </cell>
          <cell r="R136">
            <v>0.37</v>
          </cell>
          <cell r="S136">
            <v>2.8</v>
          </cell>
          <cell r="T136">
            <v>80.5</v>
          </cell>
          <cell r="U136">
            <v>10</v>
          </cell>
        </row>
        <row r="137">
          <cell r="A137" t="str">
            <v>AKM72K</v>
          </cell>
          <cell r="B137">
            <v>79.400000000000006</v>
          </cell>
          <cell r="C137">
            <v>27.9</v>
          </cell>
          <cell r="D137">
            <v>29.7</v>
          </cell>
          <cell r="E137">
            <v>9.3000000000000007</v>
          </cell>
          <cell r="L137">
            <v>25.1</v>
          </cell>
          <cell r="M137">
            <v>1500</v>
          </cell>
          <cell r="N137">
            <v>24</v>
          </cell>
          <cell r="O137">
            <v>1800</v>
          </cell>
          <cell r="P137">
            <v>6000</v>
          </cell>
          <cell r="Q137">
            <v>64.5</v>
          </cell>
          <cell r="R137">
            <v>1.22</v>
          </cell>
          <cell r="S137">
            <v>20.7</v>
          </cell>
          <cell r="T137">
            <v>208</v>
          </cell>
          <cell r="U137">
            <v>10</v>
          </cell>
        </row>
        <row r="138">
          <cell r="A138" t="str">
            <v>AKM72L</v>
          </cell>
          <cell r="B138">
            <v>79.400000000000006</v>
          </cell>
          <cell r="C138">
            <v>37.1</v>
          </cell>
          <cell r="D138">
            <v>30</v>
          </cell>
          <cell r="E138">
            <v>11.5</v>
          </cell>
          <cell r="L138">
            <v>24.3</v>
          </cell>
          <cell r="M138">
            <v>1800</v>
          </cell>
          <cell r="N138">
            <v>23.6</v>
          </cell>
          <cell r="O138">
            <v>2000</v>
          </cell>
          <cell r="P138">
            <v>6000</v>
          </cell>
          <cell r="Q138">
            <v>65</v>
          </cell>
          <cell r="R138">
            <v>0.92</v>
          </cell>
          <cell r="S138">
            <v>13.6</v>
          </cell>
          <cell r="T138">
            <v>168.5</v>
          </cell>
          <cell r="U138">
            <v>10</v>
          </cell>
        </row>
        <row r="139">
          <cell r="A139" t="str">
            <v>AKM72M</v>
          </cell>
          <cell r="B139">
            <v>79.8</v>
          </cell>
          <cell r="C139">
            <v>39</v>
          </cell>
          <cell r="D139">
            <v>30</v>
          </cell>
          <cell r="E139">
            <v>13</v>
          </cell>
          <cell r="L139">
            <v>23.6</v>
          </cell>
          <cell r="M139">
            <v>2000</v>
          </cell>
          <cell r="N139">
            <v>22.1</v>
          </cell>
          <cell r="O139">
            <v>2500</v>
          </cell>
          <cell r="P139">
            <v>6000</v>
          </cell>
          <cell r="Q139">
            <v>64.5</v>
          </cell>
          <cell r="R139">
            <v>0.64</v>
          </cell>
          <cell r="S139">
            <v>10.8</v>
          </cell>
          <cell r="T139">
            <v>150</v>
          </cell>
          <cell r="U139">
            <v>10</v>
          </cell>
        </row>
        <row r="140">
          <cell r="A140" t="str">
            <v>AKM72P</v>
          </cell>
          <cell r="B140">
            <v>78.5</v>
          </cell>
          <cell r="C140">
            <v>56.1</v>
          </cell>
          <cell r="D140">
            <v>29.4</v>
          </cell>
          <cell r="E140">
            <v>18.7</v>
          </cell>
          <cell r="J140">
            <v>23.8</v>
          </cell>
          <cell r="K140">
            <v>1800</v>
          </cell>
          <cell r="L140">
            <v>20.100000000000001</v>
          </cell>
          <cell r="M140">
            <v>3000</v>
          </cell>
          <cell r="N140">
            <v>18.2</v>
          </cell>
          <cell r="O140">
            <v>3500</v>
          </cell>
          <cell r="P140">
            <v>6000</v>
          </cell>
          <cell r="Q140">
            <v>64.5</v>
          </cell>
          <cell r="R140">
            <v>0.33</v>
          </cell>
          <cell r="S140">
            <v>5</v>
          </cell>
          <cell r="T140">
            <v>102</v>
          </cell>
          <cell r="U140">
            <v>10</v>
          </cell>
        </row>
        <row r="141">
          <cell r="A141" t="str">
            <v>AKM72Q</v>
          </cell>
          <cell r="B141">
            <v>78.400000000000006</v>
          </cell>
          <cell r="C141">
            <v>70.5</v>
          </cell>
          <cell r="D141">
            <v>29.5</v>
          </cell>
          <cell r="E141">
            <v>23.5</v>
          </cell>
          <cell r="J141">
            <v>23.2</v>
          </cell>
          <cell r="K141">
            <v>2000</v>
          </cell>
          <cell r="L141">
            <v>16.3</v>
          </cell>
          <cell r="M141">
            <v>4000</v>
          </cell>
          <cell r="N141">
            <v>14.1</v>
          </cell>
          <cell r="O141">
            <v>4500</v>
          </cell>
          <cell r="P141">
            <v>6000</v>
          </cell>
          <cell r="Q141">
            <v>65</v>
          </cell>
          <cell r="R141">
            <v>0.26</v>
          </cell>
          <cell r="S141">
            <v>3.2</v>
          </cell>
          <cell r="T141">
            <v>81.2</v>
          </cell>
          <cell r="U141">
            <v>10</v>
          </cell>
        </row>
        <row r="142">
          <cell r="A142" t="str">
            <v>AKM73L</v>
          </cell>
          <cell r="B142">
            <v>112</v>
          </cell>
          <cell r="C142">
            <v>39.4</v>
          </cell>
          <cell r="D142">
            <v>42</v>
          </cell>
          <cell r="E142">
            <v>12.1</v>
          </cell>
          <cell r="L142">
            <v>34.4</v>
          </cell>
          <cell r="M142">
            <v>1400</v>
          </cell>
          <cell r="N142">
            <v>33.799999999999997</v>
          </cell>
          <cell r="O142">
            <v>1500</v>
          </cell>
          <cell r="P142">
            <v>6000</v>
          </cell>
          <cell r="Q142">
            <v>92</v>
          </cell>
          <cell r="R142">
            <v>0.95</v>
          </cell>
          <cell r="S142">
            <v>15.7</v>
          </cell>
          <cell r="T142">
            <v>224.7</v>
          </cell>
          <cell r="U142">
            <v>10</v>
          </cell>
        </row>
        <row r="143">
          <cell r="A143" t="str">
            <v>AKM73M</v>
          </cell>
          <cell r="B143">
            <v>112</v>
          </cell>
          <cell r="C143">
            <v>40.799999999999997</v>
          </cell>
          <cell r="D143">
            <v>42</v>
          </cell>
          <cell r="E143">
            <v>13.6</v>
          </cell>
          <cell r="L143">
            <v>33.799999999999997</v>
          </cell>
          <cell r="M143">
            <v>1500</v>
          </cell>
          <cell r="N143">
            <v>32.1</v>
          </cell>
          <cell r="O143">
            <v>1800</v>
          </cell>
          <cell r="P143">
            <v>6000</v>
          </cell>
          <cell r="Q143">
            <v>92.1</v>
          </cell>
          <cell r="R143">
            <v>0.68</v>
          </cell>
          <cell r="S143">
            <v>12.4</v>
          </cell>
          <cell r="T143">
            <v>200</v>
          </cell>
          <cell r="U143">
            <v>10</v>
          </cell>
        </row>
        <row r="144">
          <cell r="A144" t="str">
            <v>AKM73P</v>
          </cell>
          <cell r="B144">
            <v>111</v>
          </cell>
          <cell r="C144">
            <v>58.6</v>
          </cell>
          <cell r="D144">
            <v>41.6</v>
          </cell>
          <cell r="E144">
            <v>19.5</v>
          </cell>
          <cell r="J144">
            <v>34.700000000000003</v>
          </cell>
          <cell r="K144">
            <v>1300</v>
          </cell>
          <cell r="L144">
            <v>28.5</v>
          </cell>
          <cell r="M144">
            <v>2400</v>
          </cell>
          <cell r="N144">
            <v>26.3</v>
          </cell>
          <cell r="O144">
            <v>2800</v>
          </cell>
          <cell r="P144">
            <v>6000</v>
          </cell>
          <cell r="Q144">
            <v>92.1</v>
          </cell>
          <cell r="R144">
            <v>0.35</v>
          </cell>
          <cell r="S144">
            <v>5.9</v>
          </cell>
          <cell r="T144">
            <v>137</v>
          </cell>
          <cell r="U144">
            <v>10</v>
          </cell>
        </row>
        <row r="145">
          <cell r="A145" t="str">
            <v>AKM73Q</v>
          </cell>
          <cell r="B145">
            <v>111</v>
          </cell>
          <cell r="C145">
            <v>73.5</v>
          </cell>
          <cell r="D145">
            <v>41.5</v>
          </cell>
          <cell r="E145">
            <v>24.5</v>
          </cell>
          <cell r="J145">
            <v>33.4</v>
          </cell>
          <cell r="K145">
            <v>1500</v>
          </cell>
          <cell r="L145">
            <v>25.2</v>
          </cell>
          <cell r="M145">
            <v>3000</v>
          </cell>
          <cell r="N145">
            <v>22</v>
          </cell>
          <cell r="O145">
            <v>3500</v>
          </cell>
          <cell r="P145">
            <v>6000</v>
          </cell>
          <cell r="Q145">
            <v>92</v>
          </cell>
          <cell r="R145">
            <v>0.27</v>
          </cell>
          <cell r="S145">
            <v>3.7</v>
          </cell>
          <cell r="T145">
            <v>109.2</v>
          </cell>
          <cell r="U145">
            <v>10</v>
          </cell>
        </row>
        <row r="146">
          <cell r="A146" t="str">
            <v>AKM74L</v>
          </cell>
          <cell r="B146">
            <v>143</v>
          </cell>
          <cell r="C146">
            <v>38.700000000000003</v>
          </cell>
          <cell r="D146">
            <v>53</v>
          </cell>
          <cell r="E146">
            <v>12.9</v>
          </cell>
          <cell r="L146">
            <v>45.5</v>
          </cell>
          <cell r="M146">
            <v>1200</v>
          </cell>
          <cell r="N146">
            <v>41.5</v>
          </cell>
          <cell r="O146">
            <v>1400</v>
          </cell>
          <cell r="P146">
            <v>6000</v>
          </cell>
          <cell r="Q146">
            <v>120</v>
          </cell>
          <cell r="R146">
            <v>0.85</v>
          </cell>
          <cell r="S146">
            <v>16.399999999999999</v>
          </cell>
          <cell r="T146">
            <v>266</v>
          </cell>
          <cell r="U146">
            <v>10</v>
          </cell>
        </row>
        <row r="147">
          <cell r="A147" t="str">
            <v>AKM74P</v>
          </cell>
          <cell r="B147">
            <v>142</v>
          </cell>
          <cell r="C147">
            <v>55.5</v>
          </cell>
          <cell r="D147">
            <v>52.5</v>
          </cell>
          <cell r="E147">
            <v>18.5</v>
          </cell>
          <cell r="L147">
            <v>37.6</v>
          </cell>
          <cell r="M147">
            <v>1800</v>
          </cell>
          <cell r="N147">
            <v>35.9</v>
          </cell>
          <cell r="O147">
            <v>2000</v>
          </cell>
          <cell r="P147">
            <v>6000</v>
          </cell>
          <cell r="Q147">
            <v>120</v>
          </cell>
          <cell r="R147">
            <v>0.43</v>
          </cell>
          <cell r="S147">
            <v>7.7</v>
          </cell>
          <cell r="T147">
            <v>183</v>
          </cell>
          <cell r="U147">
            <v>10</v>
          </cell>
        </row>
        <row r="148">
          <cell r="A148" t="str">
            <v>AKM74Q</v>
          </cell>
          <cell r="B148">
            <v>141</v>
          </cell>
          <cell r="C148">
            <v>78.3</v>
          </cell>
          <cell r="D148">
            <v>52.2</v>
          </cell>
          <cell r="E148">
            <v>26.1</v>
          </cell>
          <cell r="J148">
            <v>41.9</v>
          </cell>
          <cell r="K148">
            <v>1300</v>
          </cell>
          <cell r="L148">
            <v>31.5</v>
          </cell>
          <cell r="M148">
            <v>2500</v>
          </cell>
          <cell r="N148">
            <v>27.3</v>
          </cell>
          <cell r="O148">
            <v>3000</v>
          </cell>
          <cell r="P148">
            <v>6000</v>
          </cell>
          <cell r="Q148">
            <v>120</v>
          </cell>
          <cell r="R148">
            <v>0.26</v>
          </cell>
          <cell r="S148">
            <v>3.8</v>
          </cell>
          <cell r="T148">
            <v>129</v>
          </cell>
          <cell r="U148">
            <v>10</v>
          </cell>
        </row>
        <row r="149">
          <cell r="A149" t="str">
            <v>AKM82T</v>
          </cell>
          <cell r="B149">
            <v>210</v>
          </cell>
          <cell r="C149">
            <v>144</v>
          </cell>
          <cell r="D149">
            <v>75</v>
          </cell>
          <cell r="E149">
            <v>48</v>
          </cell>
          <cell r="L149">
            <v>47.5</v>
          </cell>
          <cell r="M149">
            <v>2500</v>
          </cell>
          <cell r="N149">
            <v>38</v>
          </cell>
          <cell r="O149">
            <v>3000</v>
          </cell>
          <cell r="P149">
            <v>4000</v>
          </cell>
          <cell r="Q149">
            <v>172</v>
          </cell>
          <cell r="R149">
            <v>9.1999999999999998E-2</v>
          </cell>
          <cell r="S149">
            <v>2.73</v>
          </cell>
          <cell r="T149">
            <v>108.4</v>
          </cell>
          <cell r="U149">
            <v>10</v>
          </cell>
        </row>
        <row r="150">
          <cell r="A150" t="str">
            <v>AKM83T</v>
          </cell>
          <cell r="B150">
            <v>456</v>
          </cell>
          <cell r="C150">
            <v>186</v>
          </cell>
          <cell r="D150">
            <v>130</v>
          </cell>
          <cell r="E150">
            <v>62</v>
          </cell>
          <cell r="L150">
            <v>70</v>
          </cell>
          <cell r="M150">
            <v>2200</v>
          </cell>
          <cell r="N150">
            <v>60</v>
          </cell>
          <cell r="O150">
            <v>2500</v>
          </cell>
          <cell r="P150">
            <v>4000</v>
          </cell>
          <cell r="Q150">
            <v>334</v>
          </cell>
          <cell r="R150">
            <v>6.0999999999999999E-2</v>
          </cell>
          <cell r="S150">
            <v>2.36</v>
          </cell>
          <cell r="T150">
            <v>140.1</v>
          </cell>
          <cell r="U150">
            <v>10</v>
          </cell>
        </row>
        <row r="151">
          <cell r="A151" t="str">
            <v>AKM84T</v>
          </cell>
          <cell r="B151">
            <v>668</v>
          </cell>
          <cell r="C151">
            <v>201</v>
          </cell>
          <cell r="D151">
            <v>180</v>
          </cell>
          <cell r="E151">
            <v>67</v>
          </cell>
          <cell r="L151">
            <v>105</v>
          </cell>
          <cell r="M151">
            <v>2000</v>
          </cell>
          <cell r="N151">
            <v>93</v>
          </cell>
          <cell r="O151">
            <v>2000</v>
          </cell>
          <cell r="P151">
            <v>4000</v>
          </cell>
          <cell r="Q151">
            <v>495</v>
          </cell>
          <cell r="R151">
            <v>5.8000000000000003E-2</v>
          </cell>
          <cell r="S151">
            <v>2.5</v>
          </cell>
          <cell r="T151">
            <v>177.4</v>
          </cell>
          <cell r="U151">
            <v>10</v>
          </cell>
        </row>
        <row r="152">
          <cell r="A152" t="str">
            <v>DBK4N00100</v>
          </cell>
          <cell r="B152">
            <v>4</v>
          </cell>
          <cell r="C152">
            <v>5</v>
          </cell>
          <cell r="D152">
            <v>1</v>
          </cell>
          <cell r="E152">
            <v>1.1000000000000001</v>
          </cell>
          <cell r="L152">
            <v>0.9</v>
          </cell>
          <cell r="M152">
            <v>3000</v>
          </cell>
          <cell r="N152">
            <v>0.88</v>
          </cell>
          <cell r="O152">
            <v>3600</v>
          </cell>
          <cell r="P152">
            <v>9000</v>
          </cell>
          <cell r="Q152">
            <v>0.79</v>
          </cell>
          <cell r="R152">
            <v>38</v>
          </cell>
          <cell r="S152">
            <v>70</v>
          </cell>
          <cell r="T152">
            <v>56</v>
          </cell>
          <cell r="U152">
            <v>6</v>
          </cell>
        </row>
        <row r="153">
          <cell r="A153" t="str">
            <v>DBK4H00100</v>
          </cell>
          <cell r="B153">
            <v>4</v>
          </cell>
          <cell r="C153">
            <v>8.6999999999999993</v>
          </cell>
          <cell r="D153">
            <v>1</v>
          </cell>
          <cell r="E153">
            <v>1.9</v>
          </cell>
          <cell r="J153">
            <v>0.9</v>
          </cell>
          <cell r="K153">
            <v>3000</v>
          </cell>
          <cell r="P153">
            <v>9000</v>
          </cell>
          <cell r="Q153">
            <v>0.79</v>
          </cell>
          <cell r="R153">
            <v>13</v>
          </cell>
          <cell r="S153">
            <v>24</v>
          </cell>
          <cell r="T153">
            <v>32</v>
          </cell>
          <cell r="U153">
            <v>6</v>
          </cell>
        </row>
        <row r="154">
          <cell r="A154" t="str">
            <v>DBK4N00160</v>
          </cell>
          <cell r="B154">
            <v>6.3</v>
          </cell>
          <cell r="C154">
            <v>4.9000000000000004</v>
          </cell>
          <cell r="D154">
            <v>1.6</v>
          </cell>
          <cell r="E154">
            <v>1.1000000000000001</v>
          </cell>
          <cell r="L154">
            <v>1.4</v>
          </cell>
          <cell r="M154">
            <v>3000</v>
          </cell>
          <cell r="N154">
            <v>1.35</v>
          </cell>
          <cell r="O154">
            <v>3600</v>
          </cell>
          <cell r="P154">
            <v>9000</v>
          </cell>
          <cell r="Q154">
            <v>1.28</v>
          </cell>
          <cell r="R154">
            <v>25</v>
          </cell>
          <cell r="S154">
            <v>68</v>
          </cell>
          <cell r="T154">
            <v>90</v>
          </cell>
          <cell r="U154">
            <v>6</v>
          </cell>
        </row>
        <row r="155">
          <cell r="A155" t="str">
            <v>DBK4H00160</v>
          </cell>
          <cell r="B155">
            <v>5.5</v>
          </cell>
          <cell r="C155">
            <v>7.1</v>
          </cell>
          <cell r="D155">
            <v>1.6</v>
          </cell>
          <cell r="E155">
            <v>1.9</v>
          </cell>
          <cell r="J155">
            <v>1.4</v>
          </cell>
          <cell r="K155">
            <v>3000</v>
          </cell>
          <cell r="P155">
            <v>9000</v>
          </cell>
          <cell r="Q155">
            <v>1.28</v>
          </cell>
          <cell r="R155">
            <v>7.6</v>
          </cell>
          <cell r="S155">
            <v>18</v>
          </cell>
          <cell r="T155">
            <v>51</v>
          </cell>
          <cell r="U155">
            <v>6</v>
          </cell>
        </row>
        <row r="156">
          <cell r="A156" t="str">
            <v>DBK5N00210</v>
          </cell>
          <cell r="B156">
            <v>8.5</v>
          </cell>
          <cell r="C156">
            <v>7</v>
          </cell>
          <cell r="D156">
            <v>2.1</v>
          </cell>
          <cell r="E156">
            <v>1.5</v>
          </cell>
          <cell r="L156">
            <v>1.9</v>
          </cell>
          <cell r="M156">
            <v>3000</v>
          </cell>
          <cell r="N156">
            <v>1.8</v>
          </cell>
          <cell r="O156">
            <v>3600</v>
          </cell>
          <cell r="P156">
            <v>9000</v>
          </cell>
          <cell r="Q156">
            <v>4.13</v>
          </cell>
          <cell r="R156">
            <v>22</v>
          </cell>
          <cell r="S156">
            <v>60</v>
          </cell>
          <cell r="T156">
            <v>83</v>
          </cell>
          <cell r="U156">
            <v>6</v>
          </cell>
        </row>
        <row r="157">
          <cell r="A157" t="str">
            <v>DBK5H00210</v>
          </cell>
          <cell r="B157">
            <v>7</v>
          </cell>
          <cell r="C157">
            <v>14.6</v>
          </cell>
          <cell r="D157">
            <v>2.1</v>
          </cell>
          <cell r="E157">
            <v>4</v>
          </cell>
          <cell r="J157">
            <v>1.9</v>
          </cell>
          <cell r="K157">
            <v>3000</v>
          </cell>
          <cell r="P157">
            <v>9000</v>
          </cell>
          <cell r="Q157">
            <v>4.13</v>
          </cell>
          <cell r="R157">
            <v>3.1</v>
          </cell>
          <cell r="S157">
            <v>10</v>
          </cell>
          <cell r="T157">
            <v>32</v>
          </cell>
          <cell r="U157">
            <v>6</v>
          </cell>
        </row>
        <row r="158">
          <cell r="A158" t="str">
            <v>DBK5N00430</v>
          </cell>
          <cell r="B158">
            <v>16.899999999999999</v>
          </cell>
          <cell r="C158">
            <v>13</v>
          </cell>
          <cell r="D158">
            <v>4.3</v>
          </cell>
          <cell r="E158">
            <v>2.9</v>
          </cell>
          <cell r="L158">
            <v>3.9</v>
          </cell>
          <cell r="M158">
            <v>3000</v>
          </cell>
          <cell r="N158">
            <v>3.8</v>
          </cell>
          <cell r="O158">
            <v>3600</v>
          </cell>
          <cell r="P158">
            <v>9000</v>
          </cell>
          <cell r="Q158">
            <v>5.78</v>
          </cell>
          <cell r="R158">
            <v>7.1</v>
          </cell>
          <cell r="S158">
            <v>32</v>
          </cell>
          <cell r="T158">
            <v>90</v>
          </cell>
          <cell r="U158">
            <v>6</v>
          </cell>
        </row>
        <row r="159">
          <cell r="A159" t="str">
            <v>DBK5H00430</v>
          </cell>
          <cell r="B159">
            <v>16.899999999999999</v>
          </cell>
          <cell r="C159">
            <v>22.5</v>
          </cell>
          <cell r="D159">
            <v>4.3</v>
          </cell>
          <cell r="E159">
            <v>5</v>
          </cell>
          <cell r="J159">
            <v>3.9</v>
          </cell>
          <cell r="K159">
            <v>3000</v>
          </cell>
          <cell r="P159">
            <v>9000</v>
          </cell>
          <cell r="Q159">
            <v>5.78</v>
          </cell>
          <cell r="R159">
            <v>2.2000000000000002</v>
          </cell>
          <cell r="S159">
            <v>10</v>
          </cell>
          <cell r="T159">
            <v>53</v>
          </cell>
          <cell r="U159">
            <v>6</v>
          </cell>
        </row>
        <row r="160">
          <cell r="A160" t="str">
            <v>DBK6N00350</v>
          </cell>
          <cell r="B160">
            <v>14.1</v>
          </cell>
          <cell r="C160">
            <v>13</v>
          </cell>
          <cell r="D160">
            <v>3.5</v>
          </cell>
          <cell r="E160">
            <v>2.8</v>
          </cell>
          <cell r="L160">
            <v>3</v>
          </cell>
          <cell r="M160">
            <v>3000</v>
          </cell>
          <cell r="N160">
            <v>2.9</v>
          </cell>
          <cell r="O160">
            <v>3600</v>
          </cell>
          <cell r="P160">
            <v>9000</v>
          </cell>
          <cell r="Q160">
            <v>8</v>
          </cell>
          <cell r="R160">
            <v>12</v>
          </cell>
          <cell r="S160">
            <v>56</v>
          </cell>
          <cell r="T160">
            <v>77</v>
          </cell>
          <cell r="U160">
            <v>6</v>
          </cell>
        </row>
        <row r="161">
          <cell r="A161" t="str">
            <v>DBK6N00700</v>
          </cell>
          <cell r="B161">
            <v>28</v>
          </cell>
          <cell r="C161">
            <v>23</v>
          </cell>
          <cell r="D161">
            <v>7</v>
          </cell>
          <cell r="E161">
            <v>5</v>
          </cell>
          <cell r="L161">
            <v>6</v>
          </cell>
          <cell r="M161">
            <v>3000</v>
          </cell>
          <cell r="N161">
            <v>5.7</v>
          </cell>
          <cell r="O161">
            <v>3600</v>
          </cell>
          <cell r="P161">
            <v>9000</v>
          </cell>
          <cell r="Q161">
            <v>11.35</v>
          </cell>
          <cell r="R161">
            <v>4.4000000000000004</v>
          </cell>
          <cell r="S161">
            <v>34</v>
          </cell>
          <cell r="T161">
            <v>84</v>
          </cell>
          <cell r="U161">
            <v>6</v>
          </cell>
        </row>
        <row r="162">
          <cell r="A162" t="str">
            <v>DBK7N00650</v>
          </cell>
          <cell r="B162">
            <v>26.3</v>
          </cell>
          <cell r="C162">
            <v>21</v>
          </cell>
          <cell r="D162">
            <v>6.5</v>
          </cell>
          <cell r="E162">
            <v>4.5</v>
          </cell>
          <cell r="L162">
            <v>5</v>
          </cell>
          <cell r="M162">
            <v>3000</v>
          </cell>
          <cell r="N162">
            <v>4.7</v>
          </cell>
          <cell r="O162">
            <v>3600</v>
          </cell>
          <cell r="P162">
            <v>9000</v>
          </cell>
          <cell r="Q162">
            <v>32.36</v>
          </cell>
          <cell r="R162">
            <v>4.1500000000000004</v>
          </cell>
          <cell r="S162">
            <v>22</v>
          </cell>
          <cell r="T162">
            <v>87</v>
          </cell>
          <cell r="U162">
            <v>6</v>
          </cell>
        </row>
        <row r="163">
          <cell r="A163" t="str">
            <v>DBK7N01200</v>
          </cell>
          <cell r="B163">
            <v>48</v>
          </cell>
          <cell r="C163">
            <v>34.5</v>
          </cell>
          <cell r="D163">
            <v>12</v>
          </cell>
          <cell r="E163">
            <v>7.5</v>
          </cell>
          <cell r="L163">
            <v>10</v>
          </cell>
          <cell r="M163">
            <v>3000</v>
          </cell>
          <cell r="N163">
            <v>9.6</v>
          </cell>
          <cell r="O163">
            <v>3600</v>
          </cell>
          <cell r="P163">
            <v>9000</v>
          </cell>
          <cell r="Q163">
            <v>53.11</v>
          </cell>
          <cell r="R163">
            <v>1.65</v>
          </cell>
          <cell r="S163">
            <v>11.5</v>
          </cell>
          <cell r="T163">
            <v>98</v>
          </cell>
          <cell r="U163">
            <v>6</v>
          </cell>
        </row>
        <row r="164">
          <cell r="A164" t="str">
            <v>DBK7N01950</v>
          </cell>
          <cell r="B164">
            <v>78.8</v>
          </cell>
          <cell r="C164">
            <v>55</v>
          </cell>
          <cell r="D164">
            <v>19.5</v>
          </cell>
          <cell r="E164">
            <v>11.8</v>
          </cell>
          <cell r="L164">
            <v>15</v>
          </cell>
          <cell r="M164">
            <v>3000</v>
          </cell>
          <cell r="N164">
            <v>14</v>
          </cell>
          <cell r="O164">
            <v>3600</v>
          </cell>
          <cell r="P164">
            <v>9000</v>
          </cell>
          <cell r="Q164">
            <v>69.16</v>
          </cell>
          <cell r="R164">
            <v>0.9</v>
          </cell>
          <cell r="S164">
            <v>7</v>
          </cell>
          <cell r="T164">
            <v>100</v>
          </cell>
          <cell r="U164">
            <v>6</v>
          </cell>
        </row>
        <row r="165">
          <cell r="A165" t="str">
            <v>DBL1X00010</v>
          </cell>
          <cell r="B165">
            <v>0.4</v>
          </cell>
          <cell r="C165">
            <v>2.8</v>
          </cell>
          <cell r="D165">
            <v>0.1</v>
          </cell>
          <cell r="E165">
            <v>0.6</v>
          </cell>
          <cell r="J165">
            <v>0.09</v>
          </cell>
          <cell r="K165">
            <v>6000</v>
          </cell>
          <cell r="P165">
            <v>12000</v>
          </cell>
          <cell r="Q165">
            <v>0.06</v>
          </cell>
          <cell r="R165">
            <v>38.200000000000003</v>
          </cell>
          <cell r="S165">
            <v>6.5</v>
          </cell>
          <cell r="T165">
            <v>10</v>
          </cell>
          <cell r="U165">
            <v>6</v>
          </cell>
        </row>
        <row r="166">
          <cell r="A166" t="str">
            <v>DBL1X00020</v>
          </cell>
          <cell r="B166">
            <v>0.8</v>
          </cell>
          <cell r="C166">
            <v>4.3</v>
          </cell>
          <cell r="D166">
            <v>0.2</v>
          </cell>
          <cell r="E166">
            <v>0.93</v>
          </cell>
          <cell r="J166">
            <v>0.18</v>
          </cell>
          <cell r="K166">
            <v>6000</v>
          </cell>
          <cell r="P166">
            <v>12000</v>
          </cell>
          <cell r="Q166">
            <v>0.12</v>
          </cell>
          <cell r="R166">
            <v>22</v>
          </cell>
          <cell r="S166">
            <v>4.7</v>
          </cell>
          <cell r="T166">
            <v>13</v>
          </cell>
          <cell r="U166">
            <v>6</v>
          </cell>
        </row>
        <row r="167">
          <cell r="A167" t="str">
            <v>DBL2H00040</v>
          </cell>
          <cell r="B167">
            <v>1.6</v>
          </cell>
          <cell r="C167">
            <v>4.3</v>
          </cell>
          <cell r="D167">
            <v>0.4</v>
          </cell>
          <cell r="E167">
            <v>0.93</v>
          </cell>
          <cell r="J167">
            <v>0.36</v>
          </cell>
          <cell r="K167">
            <v>4500</v>
          </cell>
          <cell r="L167">
            <v>0.34</v>
          </cell>
          <cell r="M167">
            <v>6000</v>
          </cell>
          <cell r="P167">
            <v>12000</v>
          </cell>
          <cell r="Q167">
            <v>0.08</v>
          </cell>
          <cell r="R167">
            <v>26.5</v>
          </cell>
          <cell r="S167">
            <v>20</v>
          </cell>
          <cell r="T167">
            <v>26</v>
          </cell>
          <cell r="U167">
            <v>6</v>
          </cell>
        </row>
        <row r="168">
          <cell r="A168" t="str">
            <v>DBL2H00060</v>
          </cell>
          <cell r="B168">
            <v>2.4</v>
          </cell>
          <cell r="C168">
            <v>6.8</v>
          </cell>
          <cell r="D168">
            <v>0.6</v>
          </cell>
          <cell r="E168">
            <v>1.5</v>
          </cell>
          <cell r="J168">
            <v>0.55000000000000004</v>
          </cell>
          <cell r="K168">
            <v>4500</v>
          </cell>
          <cell r="L168">
            <v>0.52</v>
          </cell>
          <cell r="M168">
            <v>6000</v>
          </cell>
          <cell r="P168">
            <v>12000</v>
          </cell>
          <cell r="Q168">
            <v>0.11</v>
          </cell>
          <cell r="R168">
            <v>14.8</v>
          </cell>
          <cell r="S168">
            <v>13.2</v>
          </cell>
          <cell r="T168">
            <v>25</v>
          </cell>
          <cell r="U168">
            <v>6</v>
          </cell>
        </row>
        <row r="169">
          <cell r="A169" t="str">
            <v>DBL2M00080</v>
          </cell>
          <cell r="B169">
            <v>3.2</v>
          </cell>
          <cell r="C169">
            <v>3.8</v>
          </cell>
          <cell r="D169">
            <v>0.8</v>
          </cell>
          <cell r="E169">
            <v>0.83</v>
          </cell>
          <cell r="L169">
            <v>0.72</v>
          </cell>
          <cell r="M169">
            <v>4500</v>
          </cell>
          <cell r="P169">
            <v>12000</v>
          </cell>
          <cell r="Q169">
            <v>0.13</v>
          </cell>
          <cell r="R169">
            <v>47.7</v>
          </cell>
          <cell r="S169">
            <v>43</v>
          </cell>
          <cell r="T169">
            <v>58</v>
          </cell>
          <cell r="U169">
            <v>6</v>
          </cell>
        </row>
        <row r="170">
          <cell r="A170" t="str">
            <v>DBL2H00080</v>
          </cell>
          <cell r="B170">
            <v>3.2</v>
          </cell>
          <cell r="C170">
            <v>6.8</v>
          </cell>
          <cell r="D170">
            <v>0.8</v>
          </cell>
          <cell r="E170">
            <v>1.49</v>
          </cell>
          <cell r="J170">
            <v>0.72</v>
          </cell>
          <cell r="K170">
            <v>4500</v>
          </cell>
          <cell r="L170">
            <v>0.69</v>
          </cell>
          <cell r="M170">
            <v>6000</v>
          </cell>
          <cell r="P170">
            <v>12000</v>
          </cell>
          <cell r="Q170">
            <v>0.13</v>
          </cell>
          <cell r="R170">
            <v>14.7</v>
          </cell>
          <cell r="S170">
            <v>13</v>
          </cell>
          <cell r="T170">
            <v>33</v>
          </cell>
          <cell r="U170">
            <v>6</v>
          </cell>
        </row>
        <row r="171">
          <cell r="A171" t="str">
            <v>DBL3N00065</v>
          </cell>
          <cell r="B171">
            <v>2.5</v>
          </cell>
          <cell r="C171">
            <v>3</v>
          </cell>
          <cell r="D171">
            <v>0.65</v>
          </cell>
          <cell r="E171">
            <v>0.67</v>
          </cell>
          <cell r="L171">
            <v>0.6</v>
          </cell>
          <cell r="M171">
            <v>3000</v>
          </cell>
          <cell r="N171">
            <v>0.57999999999999996</v>
          </cell>
          <cell r="O171">
            <v>3600</v>
          </cell>
          <cell r="P171">
            <v>9000</v>
          </cell>
          <cell r="Q171">
            <v>0.5</v>
          </cell>
          <cell r="R171">
            <v>79</v>
          </cell>
          <cell r="S171">
            <v>82.8</v>
          </cell>
          <cell r="T171">
            <v>59</v>
          </cell>
          <cell r="U171">
            <v>6</v>
          </cell>
        </row>
        <row r="172">
          <cell r="A172" t="str">
            <v>DBL3H00065</v>
          </cell>
          <cell r="B172">
            <v>2.6</v>
          </cell>
          <cell r="C172">
            <v>5</v>
          </cell>
          <cell r="D172">
            <v>0.65</v>
          </cell>
          <cell r="E172">
            <v>1.08</v>
          </cell>
          <cell r="J172">
            <v>0.6</v>
          </cell>
          <cell r="K172">
            <v>3000</v>
          </cell>
          <cell r="L172">
            <v>0.48</v>
          </cell>
          <cell r="M172">
            <v>6000</v>
          </cell>
          <cell r="P172">
            <v>9000</v>
          </cell>
          <cell r="Q172">
            <v>0.5</v>
          </cell>
          <cell r="R172">
            <v>30.3</v>
          </cell>
          <cell r="S172">
            <v>31</v>
          </cell>
          <cell r="T172">
            <v>36.5</v>
          </cell>
          <cell r="U172">
            <v>6</v>
          </cell>
        </row>
        <row r="173">
          <cell r="A173" t="str">
            <v>DBL3N00130</v>
          </cell>
          <cell r="B173">
            <v>5.0999999999999996</v>
          </cell>
          <cell r="C173">
            <v>4.5</v>
          </cell>
          <cell r="D173">
            <v>1.3</v>
          </cell>
          <cell r="E173">
            <v>1</v>
          </cell>
          <cell r="L173">
            <v>1.2</v>
          </cell>
          <cell r="M173">
            <v>3000</v>
          </cell>
          <cell r="N173">
            <v>1.1499999999999999</v>
          </cell>
          <cell r="O173">
            <v>3600</v>
          </cell>
          <cell r="P173">
            <v>9000</v>
          </cell>
          <cell r="Q173">
            <v>0.8</v>
          </cell>
          <cell r="R173">
            <v>35.5</v>
          </cell>
          <cell r="S173">
            <v>61</v>
          </cell>
          <cell r="T173">
            <v>77.5</v>
          </cell>
          <cell r="U173">
            <v>6</v>
          </cell>
        </row>
        <row r="174">
          <cell r="A174" t="str">
            <v>DBL3H00130</v>
          </cell>
          <cell r="B174">
            <v>4.9000000000000004</v>
          </cell>
          <cell r="C174">
            <v>7.5</v>
          </cell>
          <cell r="D174">
            <v>1.3</v>
          </cell>
          <cell r="E174">
            <v>1.75</v>
          </cell>
          <cell r="J174">
            <v>1.2</v>
          </cell>
          <cell r="K174">
            <v>3000</v>
          </cell>
          <cell r="L174">
            <v>1.1000000000000001</v>
          </cell>
          <cell r="M174">
            <v>6000</v>
          </cell>
          <cell r="P174">
            <v>9000</v>
          </cell>
          <cell r="Q174">
            <v>0.8</v>
          </cell>
          <cell r="R174">
            <v>13</v>
          </cell>
          <cell r="S174">
            <v>22</v>
          </cell>
          <cell r="T174">
            <v>45</v>
          </cell>
          <cell r="U174">
            <v>6</v>
          </cell>
        </row>
        <row r="175">
          <cell r="A175" t="str">
            <v>DBL3M00190</v>
          </cell>
          <cell r="B175">
            <v>7.6</v>
          </cell>
          <cell r="C175">
            <v>6.9</v>
          </cell>
          <cell r="D175">
            <v>1.9</v>
          </cell>
          <cell r="E175">
            <v>1.5</v>
          </cell>
          <cell r="L175">
            <v>1.6</v>
          </cell>
          <cell r="M175">
            <v>3000</v>
          </cell>
          <cell r="N175">
            <v>1.54</v>
          </cell>
          <cell r="O175">
            <v>3600</v>
          </cell>
          <cell r="P175">
            <v>9000</v>
          </cell>
          <cell r="Q175">
            <v>1</v>
          </cell>
          <cell r="R175">
            <v>21.3</v>
          </cell>
          <cell r="S175">
            <v>40</v>
          </cell>
          <cell r="T175">
            <v>77</v>
          </cell>
          <cell r="U175">
            <v>6</v>
          </cell>
        </row>
        <row r="176">
          <cell r="A176" t="str">
            <v>DBL3H00250</v>
          </cell>
          <cell r="B176">
            <v>10.1</v>
          </cell>
          <cell r="C176">
            <v>13.9</v>
          </cell>
          <cell r="D176">
            <v>2.5</v>
          </cell>
          <cell r="E176">
            <v>3</v>
          </cell>
          <cell r="J176">
            <v>2.2000000000000002</v>
          </cell>
          <cell r="K176">
            <v>3000</v>
          </cell>
          <cell r="L176">
            <v>1.8</v>
          </cell>
          <cell r="M176">
            <v>6000</v>
          </cell>
          <cell r="P176">
            <v>9000</v>
          </cell>
          <cell r="Q176">
            <v>1.4</v>
          </cell>
          <cell r="R176">
            <v>5.0999999999999996</v>
          </cell>
          <cell r="S176">
            <v>11</v>
          </cell>
          <cell r="T176">
            <v>50</v>
          </cell>
          <cell r="U176">
            <v>6</v>
          </cell>
        </row>
        <row r="177">
          <cell r="A177" t="str">
            <v>DBL3N00300</v>
          </cell>
          <cell r="B177">
            <v>11.9</v>
          </cell>
          <cell r="C177">
            <v>9.5</v>
          </cell>
          <cell r="D177">
            <v>3</v>
          </cell>
          <cell r="E177">
            <v>2.1</v>
          </cell>
          <cell r="L177">
            <v>2.6</v>
          </cell>
          <cell r="M177">
            <v>3000</v>
          </cell>
          <cell r="N177">
            <v>2.5</v>
          </cell>
          <cell r="O177">
            <v>3600</v>
          </cell>
          <cell r="P177">
            <v>9000</v>
          </cell>
          <cell r="Q177">
            <v>1.7</v>
          </cell>
          <cell r="R177">
            <v>11.5</v>
          </cell>
          <cell r="S177">
            <v>25</v>
          </cell>
          <cell r="T177">
            <v>88</v>
          </cell>
          <cell r="U177">
            <v>6</v>
          </cell>
        </row>
        <row r="178">
          <cell r="A178" t="str">
            <v>DBL4N00260</v>
          </cell>
          <cell r="B178">
            <v>10.3</v>
          </cell>
          <cell r="C178">
            <v>8.6</v>
          </cell>
          <cell r="D178">
            <v>2.6</v>
          </cell>
          <cell r="E178">
            <v>1.9</v>
          </cell>
          <cell r="L178">
            <v>2.2999999999999998</v>
          </cell>
          <cell r="M178">
            <v>3000</v>
          </cell>
          <cell r="N178">
            <v>2.2000000000000002</v>
          </cell>
          <cell r="O178">
            <v>3600</v>
          </cell>
          <cell r="P178">
            <v>9000</v>
          </cell>
          <cell r="Q178">
            <v>2.1</v>
          </cell>
          <cell r="R178">
            <v>9.5</v>
          </cell>
          <cell r="S178">
            <v>40</v>
          </cell>
          <cell r="T178">
            <v>82</v>
          </cell>
          <cell r="U178">
            <v>6</v>
          </cell>
        </row>
        <row r="179">
          <cell r="A179" t="str">
            <v>DBL4H00260</v>
          </cell>
          <cell r="B179">
            <v>10</v>
          </cell>
          <cell r="C179">
            <v>13</v>
          </cell>
          <cell r="D179">
            <v>2.6</v>
          </cell>
          <cell r="E179">
            <v>3</v>
          </cell>
          <cell r="J179">
            <v>2.2999999999999998</v>
          </cell>
          <cell r="K179">
            <v>3000</v>
          </cell>
          <cell r="P179">
            <v>9000</v>
          </cell>
          <cell r="Q179">
            <v>2.1</v>
          </cell>
          <cell r="R179">
            <v>3.8</v>
          </cell>
          <cell r="S179">
            <v>15</v>
          </cell>
          <cell r="T179">
            <v>52</v>
          </cell>
          <cell r="U179">
            <v>6</v>
          </cell>
        </row>
        <row r="180">
          <cell r="A180" t="str">
            <v>DBL4N00530</v>
          </cell>
          <cell r="B180">
            <v>21.5</v>
          </cell>
          <cell r="C180">
            <v>15</v>
          </cell>
          <cell r="D180">
            <v>5.3</v>
          </cell>
          <cell r="E180">
            <v>3.2</v>
          </cell>
          <cell r="L180">
            <v>4.5999999999999996</v>
          </cell>
          <cell r="M180">
            <v>3000</v>
          </cell>
          <cell r="N180">
            <v>4.4000000000000004</v>
          </cell>
          <cell r="O180">
            <v>3600</v>
          </cell>
          <cell r="P180">
            <v>9000</v>
          </cell>
          <cell r="Q180">
            <v>2.8</v>
          </cell>
          <cell r="R180">
            <v>6.14</v>
          </cell>
          <cell r="S180">
            <v>30</v>
          </cell>
          <cell r="T180">
            <v>100</v>
          </cell>
          <cell r="U180">
            <v>6</v>
          </cell>
        </row>
        <row r="181">
          <cell r="A181" t="str">
            <v>DBL4H00530</v>
          </cell>
          <cell r="B181">
            <v>21.3</v>
          </cell>
          <cell r="C181">
            <v>30</v>
          </cell>
          <cell r="D181">
            <v>5.3</v>
          </cell>
          <cell r="E181">
            <v>6.5</v>
          </cell>
          <cell r="J181">
            <v>4.5999999999999996</v>
          </cell>
          <cell r="K181">
            <v>3000</v>
          </cell>
          <cell r="P181">
            <v>9000</v>
          </cell>
          <cell r="Q181">
            <v>2.8</v>
          </cell>
          <cell r="R181">
            <v>1.65</v>
          </cell>
          <cell r="S181">
            <v>9.3000000000000007</v>
          </cell>
          <cell r="T181">
            <v>49</v>
          </cell>
          <cell r="U181">
            <v>6</v>
          </cell>
        </row>
        <row r="182">
          <cell r="A182" t="str">
            <v>DBL4N00750</v>
          </cell>
          <cell r="B182">
            <v>30.2</v>
          </cell>
          <cell r="C182">
            <v>19</v>
          </cell>
          <cell r="D182">
            <v>7.5</v>
          </cell>
          <cell r="E182">
            <v>4.0999999999999996</v>
          </cell>
          <cell r="L182">
            <v>6.5</v>
          </cell>
          <cell r="M182">
            <v>3000</v>
          </cell>
          <cell r="N182">
            <v>6.25</v>
          </cell>
          <cell r="O182">
            <v>3600</v>
          </cell>
          <cell r="P182">
            <v>9000</v>
          </cell>
          <cell r="Q182">
            <v>4.3</v>
          </cell>
          <cell r="R182">
            <v>3.8</v>
          </cell>
          <cell r="S182">
            <v>22.6</v>
          </cell>
          <cell r="T182">
            <v>112</v>
          </cell>
          <cell r="U182">
            <v>6</v>
          </cell>
        </row>
        <row r="183">
          <cell r="A183" t="str">
            <v>DBL4H00750</v>
          </cell>
          <cell r="B183">
            <v>29.9</v>
          </cell>
          <cell r="C183">
            <v>42.6</v>
          </cell>
          <cell r="D183">
            <v>7.5</v>
          </cell>
          <cell r="E183">
            <v>9.3000000000000007</v>
          </cell>
          <cell r="J183">
            <v>6.4</v>
          </cell>
          <cell r="K183">
            <v>3000</v>
          </cell>
          <cell r="P183">
            <v>9000</v>
          </cell>
          <cell r="Q183">
            <v>4.3</v>
          </cell>
          <cell r="R183">
            <v>0.86</v>
          </cell>
          <cell r="S183">
            <v>5.3</v>
          </cell>
          <cell r="T183">
            <v>49</v>
          </cell>
          <cell r="U183">
            <v>6</v>
          </cell>
        </row>
        <row r="184">
          <cell r="A184" t="str">
            <v>DBL4N00950</v>
          </cell>
          <cell r="B184">
            <v>37.5</v>
          </cell>
          <cell r="C184">
            <v>27.5</v>
          </cell>
          <cell r="D184">
            <v>9.5</v>
          </cell>
          <cell r="E184">
            <v>6.1</v>
          </cell>
          <cell r="L184">
            <v>8</v>
          </cell>
          <cell r="M184">
            <v>3000</v>
          </cell>
          <cell r="N184">
            <v>7.8</v>
          </cell>
          <cell r="O184">
            <v>3600</v>
          </cell>
          <cell r="P184">
            <v>9000</v>
          </cell>
          <cell r="Q184">
            <v>6.5</v>
          </cell>
          <cell r="R184">
            <v>1.61</v>
          </cell>
          <cell r="S184">
            <v>10</v>
          </cell>
          <cell r="T184">
            <v>94</v>
          </cell>
          <cell r="U184">
            <v>6</v>
          </cell>
        </row>
        <row r="185">
          <cell r="A185" t="str">
            <v>DBL5N01050</v>
          </cell>
          <cell r="B185">
            <v>42.1</v>
          </cell>
          <cell r="C185">
            <v>30</v>
          </cell>
          <cell r="D185">
            <v>10.5</v>
          </cell>
          <cell r="E185">
            <v>6.5</v>
          </cell>
          <cell r="L185">
            <v>8.5</v>
          </cell>
          <cell r="M185">
            <v>3000</v>
          </cell>
          <cell r="N185">
            <v>8</v>
          </cell>
          <cell r="O185">
            <v>3600</v>
          </cell>
          <cell r="P185">
            <v>9000</v>
          </cell>
          <cell r="Q185">
            <v>8.1</v>
          </cell>
          <cell r="R185">
            <v>2.25</v>
          </cell>
          <cell r="S185">
            <v>19.8</v>
          </cell>
          <cell r="T185">
            <v>97</v>
          </cell>
          <cell r="U185">
            <v>6</v>
          </cell>
        </row>
        <row r="186">
          <cell r="A186" t="str">
            <v>DBL5H01050</v>
          </cell>
          <cell r="B186">
            <v>44.8</v>
          </cell>
          <cell r="C186">
            <v>71</v>
          </cell>
          <cell r="D186">
            <v>10.5</v>
          </cell>
          <cell r="E186">
            <v>14.1</v>
          </cell>
          <cell r="J186">
            <v>8.5</v>
          </cell>
          <cell r="K186">
            <v>3000</v>
          </cell>
          <cell r="P186">
            <v>9000</v>
          </cell>
          <cell r="Q186">
            <v>8.1</v>
          </cell>
          <cell r="R186">
            <v>0.52</v>
          </cell>
          <cell r="S186">
            <v>4.5</v>
          </cell>
          <cell r="T186">
            <v>45</v>
          </cell>
          <cell r="U186">
            <v>6</v>
          </cell>
        </row>
        <row r="187">
          <cell r="A187" t="str">
            <v>DBL5N01350</v>
          </cell>
          <cell r="B187">
            <v>54</v>
          </cell>
          <cell r="C187">
            <v>40</v>
          </cell>
          <cell r="D187">
            <v>13.5</v>
          </cell>
          <cell r="E187">
            <v>8.6999999999999993</v>
          </cell>
          <cell r="L187">
            <v>10.7</v>
          </cell>
          <cell r="M187">
            <v>3000</v>
          </cell>
          <cell r="N187">
            <v>10</v>
          </cell>
          <cell r="O187">
            <v>3600</v>
          </cell>
          <cell r="P187">
            <v>9000</v>
          </cell>
          <cell r="Q187">
            <v>9.1</v>
          </cell>
          <cell r="R187">
            <v>1.71</v>
          </cell>
          <cell r="S187">
            <v>16.5</v>
          </cell>
          <cell r="T187">
            <v>94</v>
          </cell>
          <cell r="U187">
            <v>6</v>
          </cell>
        </row>
        <row r="188">
          <cell r="A188" t="str">
            <v>DBL5H01350</v>
          </cell>
          <cell r="B188">
            <v>53.8</v>
          </cell>
          <cell r="C188">
            <v>85</v>
          </cell>
          <cell r="D188">
            <v>13.5</v>
          </cell>
          <cell r="E188">
            <v>18.600000000000001</v>
          </cell>
          <cell r="J188">
            <v>10.7</v>
          </cell>
          <cell r="K188">
            <v>3000</v>
          </cell>
          <cell r="P188">
            <v>9000</v>
          </cell>
          <cell r="Q188">
            <v>9.1</v>
          </cell>
          <cell r="R188">
            <v>0.38</v>
          </cell>
          <cell r="S188">
            <v>3.1</v>
          </cell>
          <cell r="T188">
            <v>44</v>
          </cell>
          <cell r="U188">
            <v>6</v>
          </cell>
        </row>
        <row r="189">
          <cell r="A189" t="str">
            <v>DBL5N01700</v>
          </cell>
          <cell r="B189">
            <v>68.2</v>
          </cell>
          <cell r="C189">
            <v>48</v>
          </cell>
          <cell r="D189">
            <v>17</v>
          </cell>
          <cell r="E189">
            <v>10.4</v>
          </cell>
          <cell r="L189">
            <v>14</v>
          </cell>
          <cell r="M189">
            <v>3000</v>
          </cell>
          <cell r="N189">
            <v>13.4</v>
          </cell>
          <cell r="O189">
            <v>3600</v>
          </cell>
          <cell r="P189">
            <v>9000</v>
          </cell>
          <cell r="Q189">
            <v>11.3</v>
          </cell>
          <cell r="R189">
            <v>1.25</v>
          </cell>
          <cell r="S189">
            <v>12.6</v>
          </cell>
          <cell r="T189">
            <v>99</v>
          </cell>
          <cell r="U189">
            <v>6</v>
          </cell>
        </row>
        <row r="190">
          <cell r="A190" t="str">
            <v>DBL5H01700</v>
          </cell>
          <cell r="B190">
            <v>67.5</v>
          </cell>
          <cell r="C190">
            <v>91</v>
          </cell>
          <cell r="D190">
            <v>17</v>
          </cell>
          <cell r="E190">
            <v>20</v>
          </cell>
          <cell r="J190">
            <v>14</v>
          </cell>
          <cell r="K190">
            <v>3000</v>
          </cell>
          <cell r="P190">
            <v>9000</v>
          </cell>
          <cell r="Q190">
            <v>11.3</v>
          </cell>
          <cell r="R190">
            <v>0.36</v>
          </cell>
          <cell r="S190">
            <v>3.3</v>
          </cell>
          <cell r="T190">
            <v>52</v>
          </cell>
          <cell r="U190">
            <v>6</v>
          </cell>
        </row>
        <row r="191">
          <cell r="A191" t="str">
            <v>DBL5N02200</v>
          </cell>
          <cell r="B191">
            <v>88</v>
          </cell>
          <cell r="C191">
            <v>63</v>
          </cell>
          <cell r="D191">
            <v>22</v>
          </cell>
          <cell r="E191">
            <v>13.7</v>
          </cell>
          <cell r="L191">
            <v>17</v>
          </cell>
          <cell r="M191">
            <v>3000</v>
          </cell>
          <cell r="N191">
            <v>16</v>
          </cell>
          <cell r="O191">
            <v>3600</v>
          </cell>
          <cell r="P191">
            <v>9000</v>
          </cell>
          <cell r="Q191">
            <v>13.1</v>
          </cell>
          <cell r="R191">
            <v>0.94</v>
          </cell>
          <cell r="S191">
            <v>9</v>
          </cell>
          <cell r="T191">
            <v>97</v>
          </cell>
          <cell r="U191">
            <v>6</v>
          </cell>
        </row>
        <row r="192">
          <cell r="A192" t="str">
            <v>DBL6N02200</v>
          </cell>
          <cell r="B192">
            <v>88.1</v>
          </cell>
          <cell r="C192">
            <v>69.5</v>
          </cell>
          <cell r="D192">
            <v>22</v>
          </cell>
          <cell r="E192">
            <v>15.1</v>
          </cell>
          <cell r="L192">
            <v>16</v>
          </cell>
          <cell r="M192">
            <v>3000</v>
          </cell>
          <cell r="N192">
            <v>14.8</v>
          </cell>
          <cell r="O192">
            <v>3600</v>
          </cell>
          <cell r="P192">
            <v>9000</v>
          </cell>
          <cell r="Q192">
            <v>25.1</v>
          </cell>
          <cell r="R192">
            <v>0.72</v>
          </cell>
          <cell r="S192">
            <v>8.5</v>
          </cell>
          <cell r="T192">
            <v>88</v>
          </cell>
          <cell r="U192">
            <v>6</v>
          </cell>
        </row>
        <row r="193">
          <cell r="A193" t="str">
            <v>DBL6N02900</v>
          </cell>
          <cell r="B193">
            <v>116.6</v>
          </cell>
          <cell r="C193">
            <v>81</v>
          </cell>
          <cell r="D193">
            <v>29</v>
          </cell>
          <cell r="E193">
            <v>17.5</v>
          </cell>
          <cell r="L193">
            <v>20</v>
          </cell>
          <cell r="M193">
            <v>3000</v>
          </cell>
          <cell r="N193">
            <v>18.399999999999999</v>
          </cell>
          <cell r="O193">
            <v>3600</v>
          </cell>
          <cell r="P193">
            <v>9000</v>
          </cell>
          <cell r="Q193">
            <v>38.200000000000003</v>
          </cell>
          <cell r="R193">
            <v>0.55000000000000004</v>
          </cell>
          <cell r="S193">
            <v>6.5</v>
          </cell>
          <cell r="T193">
            <v>100</v>
          </cell>
          <cell r="U193">
            <v>6</v>
          </cell>
        </row>
        <row r="194">
          <cell r="A194" t="str">
            <v>DBL7N02600</v>
          </cell>
          <cell r="B194">
            <v>101.9</v>
          </cell>
          <cell r="C194">
            <v>76</v>
          </cell>
          <cell r="D194">
            <v>26</v>
          </cell>
          <cell r="E194">
            <v>17</v>
          </cell>
          <cell r="L194">
            <v>20</v>
          </cell>
          <cell r="M194">
            <v>3000</v>
          </cell>
          <cell r="N194">
            <v>18.8</v>
          </cell>
          <cell r="O194">
            <v>3600</v>
          </cell>
          <cell r="P194">
            <v>9000</v>
          </cell>
          <cell r="Q194">
            <v>97.4</v>
          </cell>
          <cell r="R194">
            <v>0.46</v>
          </cell>
          <cell r="S194">
            <v>4.5</v>
          </cell>
          <cell r="T194">
            <v>92.5</v>
          </cell>
          <cell r="U194">
            <v>6</v>
          </cell>
        </row>
        <row r="195">
          <cell r="A195" t="str">
            <v>DBL7N03200</v>
          </cell>
          <cell r="B195">
            <v>125.8</v>
          </cell>
          <cell r="C195">
            <v>89.8</v>
          </cell>
          <cell r="D195">
            <v>32</v>
          </cell>
          <cell r="E195">
            <v>20</v>
          </cell>
          <cell r="L195">
            <v>23</v>
          </cell>
          <cell r="M195">
            <v>3000</v>
          </cell>
          <cell r="N195">
            <v>21</v>
          </cell>
          <cell r="O195">
            <v>3600</v>
          </cell>
          <cell r="P195">
            <v>9000</v>
          </cell>
          <cell r="Q195">
            <v>114.1</v>
          </cell>
          <cell r="R195">
            <v>0.36</v>
          </cell>
          <cell r="S195">
            <v>3.6</v>
          </cell>
          <cell r="T195">
            <v>97</v>
          </cell>
          <cell r="U195">
            <v>6</v>
          </cell>
        </row>
        <row r="196">
          <cell r="A196" t="str">
            <v>DBL7N04000</v>
          </cell>
          <cell r="B196">
            <v>144.5</v>
          </cell>
          <cell r="C196">
            <v>94</v>
          </cell>
          <cell r="D196">
            <v>40</v>
          </cell>
          <cell r="E196">
            <v>23.4</v>
          </cell>
          <cell r="L196">
            <v>26</v>
          </cell>
          <cell r="M196">
            <v>3000</v>
          </cell>
          <cell r="N196">
            <v>23.2</v>
          </cell>
          <cell r="O196">
            <v>3600</v>
          </cell>
          <cell r="P196">
            <v>9000</v>
          </cell>
          <cell r="Q196">
            <v>139.4</v>
          </cell>
          <cell r="R196">
            <v>0.3</v>
          </cell>
          <cell r="S196">
            <v>2.9</v>
          </cell>
          <cell r="T196">
            <v>103.5</v>
          </cell>
          <cell r="U196">
            <v>6</v>
          </cell>
        </row>
        <row r="197">
          <cell r="A197" t="str">
            <v>DBL8N04000</v>
          </cell>
          <cell r="B197">
            <v>128.80000000000001</v>
          </cell>
          <cell r="C197">
            <v>80</v>
          </cell>
          <cell r="D197">
            <v>40</v>
          </cell>
          <cell r="E197">
            <v>23</v>
          </cell>
          <cell r="L197">
            <v>32</v>
          </cell>
          <cell r="M197">
            <v>3000</v>
          </cell>
          <cell r="N197">
            <v>30.4</v>
          </cell>
          <cell r="O197">
            <v>3600</v>
          </cell>
          <cell r="P197">
            <v>9000</v>
          </cell>
          <cell r="Q197">
            <v>71.099999999999994</v>
          </cell>
          <cell r="R197">
            <v>0.35</v>
          </cell>
          <cell r="S197">
            <v>7.5</v>
          </cell>
          <cell r="T197">
            <v>105</v>
          </cell>
          <cell r="U197">
            <v>6</v>
          </cell>
        </row>
        <row r="198">
          <cell r="A198" t="str">
            <v>DBL8N06800</v>
          </cell>
          <cell r="B198">
            <v>234.3</v>
          </cell>
          <cell r="C198">
            <v>140</v>
          </cell>
          <cell r="D198">
            <v>68</v>
          </cell>
          <cell r="E198">
            <v>37</v>
          </cell>
          <cell r="L198">
            <v>50</v>
          </cell>
          <cell r="M198">
            <v>3000</v>
          </cell>
          <cell r="N198">
            <v>45.6</v>
          </cell>
          <cell r="O198">
            <v>3600</v>
          </cell>
          <cell r="P198">
            <v>9000</v>
          </cell>
          <cell r="Q198">
            <v>113.6</v>
          </cell>
          <cell r="R198">
            <v>0.12</v>
          </cell>
          <cell r="S198">
            <v>3.4</v>
          </cell>
          <cell r="T198">
            <v>112</v>
          </cell>
          <cell r="U198">
            <v>6</v>
          </cell>
        </row>
        <row r="199">
          <cell r="A199" t="str">
            <v>DBL8L09300</v>
          </cell>
          <cell r="B199">
            <v>299</v>
          </cell>
          <cell r="C199">
            <v>118</v>
          </cell>
          <cell r="D199">
            <v>93</v>
          </cell>
          <cell r="E199">
            <v>34</v>
          </cell>
          <cell r="L199">
            <v>70</v>
          </cell>
          <cell r="M199">
            <v>2000</v>
          </cell>
          <cell r="P199">
            <v>6000</v>
          </cell>
          <cell r="Q199">
            <v>153</v>
          </cell>
          <cell r="R199">
            <v>0.16</v>
          </cell>
          <cell r="S199">
            <v>4.4000000000000004</v>
          </cell>
          <cell r="T199">
            <v>164</v>
          </cell>
          <cell r="U199">
            <v>6</v>
          </cell>
        </row>
        <row r="200">
          <cell r="A200" t="str">
            <v>DBL8L11500</v>
          </cell>
          <cell r="B200">
            <v>363.2</v>
          </cell>
          <cell r="C200">
            <v>146</v>
          </cell>
          <cell r="D200">
            <v>115</v>
          </cell>
          <cell r="E200">
            <v>43</v>
          </cell>
          <cell r="L200">
            <v>85</v>
          </cell>
          <cell r="M200">
            <v>2000</v>
          </cell>
          <cell r="P200">
            <v>6000</v>
          </cell>
          <cell r="Q200">
            <v>190</v>
          </cell>
          <cell r="R200">
            <v>0.11</v>
          </cell>
          <cell r="S200">
            <v>3.9</v>
          </cell>
          <cell r="T200">
            <v>164</v>
          </cell>
          <cell r="U200">
            <v>6</v>
          </cell>
        </row>
        <row r="201">
          <cell r="A201" t="str">
            <v>SBK4-0100 (320V)</v>
          </cell>
          <cell r="B201">
            <v>4</v>
          </cell>
          <cell r="C201">
            <v>11</v>
          </cell>
          <cell r="D201">
            <v>1</v>
          </cell>
          <cell r="E201">
            <v>1.82</v>
          </cell>
          <cell r="J201">
            <v>0.9</v>
          </cell>
          <cell r="K201">
            <v>3000</v>
          </cell>
          <cell r="P201">
            <v>12000</v>
          </cell>
          <cell r="Q201">
            <v>0.79</v>
          </cell>
          <cell r="R201">
            <v>13</v>
          </cell>
          <cell r="S201">
            <v>24</v>
          </cell>
          <cell r="T201">
            <v>33.5</v>
          </cell>
          <cell r="U201">
            <v>6</v>
          </cell>
        </row>
        <row r="202">
          <cell r="A202" t="str">
            <v>SBK4-0100 (560V)</v>
          </cell>
          <cell r="B202">
            <v>4</v>
          </cell>
          <cell r="C202">
            <v>5</v>
          </cell>
          <cell r="D202">
            <v>1</v>
          </cell>
          <cell r="E202">
            <v>1.1000000000000001</v>
          </cell>
          <cell r="L202">
            <v>0.9</v>
          </cell>
          <cell r="M202">
            <v>3000</v>
          </cell>
          <cell r="P202">
            <v>12000</v>
          </cell>
          <cell r="Q202">
            <v>0.79</v>
          </cell>
          <cell r="R202">
            <v>38</v>
          </cell>
          <cell r="S202">
            <v>70</v>
          </cell>
          <cell r="T202">
            <v>56</v>
          </cell>
          <cell r="U202">
            <v>6</v>
          </cell>
        </row>
        <row r="203">
          <cell r="A203" t="str">
            <v>SBK5-0210 (320V)</v>
          </cell>
          <cell r="B203">
            <v>6.3</v>
          </cell>
          <cell r="C203">
            <v>12</v>
          </cell>
          <cell r="D203">
            <v>2.1</v>
          </cell>
          <cell r="E203">
            <v>2.7</v>
          </cell>
          <cell r="J203">
            <v>1.9</v>
          </cell>
          <cell r="K203">
            <v>3000</v>
          </cell>
          <cell r="P203">
            <v>9000</v>
          </cell>
          <cell r="Q203">
            <v>4.0999999999999996</v>
          </cell>
          <cell r="R203">
            <v>6.5</v>
          </cell>
          <cell r="S203">
            <v>21.5</v>
          </cell>
          <cell r="T203">
            <v>47.5</v>
          </cell>
          <cell r="U203">
            <v>6</v>
          </cell>
        </row>
        <row r="204">
          <cell r="A204" t="str">
            <v>SBK5-0210 (560V)</v>
          </cell>
          <cell r="B204">
            <v>6.3</v>
          </cell>
          <cell r="C204">
            <v>7</v>
          </cell>
          <cell r="D204">
            <v>2.1</v>
          </cell>
          <cell r="E204">
            <v>1.5</v>
          </cell>
          <cell r="L204">
            <v>1.9</v>
          </cell>
          <cell r="M204">
            <v>3000</v>
          </cell>
          <cell r="P204">
            <v>9000</v>
          </cell>
          <cell r="Q204">
            <v>4.0999999999999996</v>
          </cell>
          <cell r="R204">
            <v>21</v>
          </cell>
          <cell r="S204">
            <v>66</v>
          </cell>
          <cell r="T204">
            <v>82.5</v>
          </cell>
          <cell r="U204">
            <v>6</v>
          </cell>
        </row>
        <row r="205">
          <cell r="A205" t="str">
            <v>SBK5-0430 (320V)</v>
          </cell>
          <cell r="B205">
            <v>12.9</v>
          </cell>
          <cell r="C205">
            <v>22.5</v>
          </cell>
          <cell r="D205">
            <v>4.3</v>
          </cell>
          <cell r="E205">
            <v>5</v>
          </cell>
          <cell r="J205">
            <v>3.9</v>
          </cell>
          <cell r="K205">
            <v>3000</v>
          </cell>
          <cell r="P205">
            <v>9000</v>
          </cell>
          <cell r="Q205">
            <v>5.8</v>
          </cell>
          <cell r="R205">
            <v>2.16</v>
          </cell>
          <cell r="S205">
            <v>10</v>
          </cell>
          <cell r="T205">
            <v>52.5</v>
          </cell>
          <cell r="U205">
            <v>6</v>
          </cell>
        </row>
        <row r="206">
          <cell r="A206" t="str">
            <v>SBK5-0430 (560V)</v>
          </cell>
          <cell r="B206">
            <v>12.9</v>
          </cell>
          <cell r="C206">
            <v>13</v>
          </cell>
          <cell r="D206">
            <v>4.3</v>
          </cell>
          <cell r="E206">
            <v>2.9</v>
          </cell>
          <cell r="L206">
            <v>3.9</v>
          </cell>
          <cell r="M206">
            <v>3000</v>
          </cell>
          <cell r="P206">
            <v>9000</v>
          </cell>
          <cell r="Q206">
            <v>5.8</v>
          </cell>
          <cell r="R206">
            <v>7.1</v>
          </cell>
          <cell r="S206">
            <v>32</v>
          </cell>
          <cell r="T206">
            <v>90</v>
          </cell>
          <cell r="U206">
            <v>6</v>
          </cell>
        </row>
        <row r="207">
          <cell r="A207" t="str">
            <v>SBK6-0350 (320V)</v>
          </cell>
          <cell r="B207">
            <v>10.5</v>
          </cell>
          <cell r="C207">
            <v>21.5</v>
          </cell>
          <cell r="D207">
            <v>3.5</v>
          </cell>
          <cell r="E207">
            <v>5.2</v>
          </cell>
          <cell r="J207">
            <v>3</v>
          </cell>
          <cell r="K207">
            <v>3000</v>
          </cell>
          <cell r="P207">
            <v>6000</v>
          </cell>
          <cell r="Q207">
            <v>8</v>
          </cell>
          <cell r="R207">
            <v>2.95</v>
          </cell>
          <cell r="S207">
            <v>17.5</v>
          </cell>
          <cell r="T207">
            <v>41</v>
          </cell>
          <cell r="U207">
            <v>6</v>
          </cell>
        </row>
        <row r="208">
          <cell r="A208" t="str">
            <v>SBK6-0350 (560V)</v>
          </cell>
          <cell r="B208">
            <v>10.5</v>
          </cell>
          <cell r="C208">
            <v>12.4</v>
          </cell>
          <cell r="D208">
            <v>3.5</v>
          </cell>
          <cell r="E208">
            <v>3.1</v>
          </cell>
          <cell r="L208">
            <v>3</v>
          </cell>
          <cell r="M208">
            <v>3000</v>
          </cell>
          <cell r="P208">
            <v>6000</v>
          </cell>
          <cell r="Q208">
            <v>8</v>
          </cell>
          <cell r="R208">
            <v>8.8000000000000007</v>
          </cell>
          <cell r="S208">
            <v>52</v>
          </cell>
          <cell r="T208">
            <v>70</v>
          </cell>
          <cell r="U208">
            <v>6</v>
          </cell>
        </row>
        <row r="209">
          <cell r="A209" t="str">
            <v>SBK6-0700 (320V)</v>
          </cell>
          <cell r="B209">
            <v>21</v>
          </cell>
          <cell r="C209">
            <v>45.3</v>
          </cell>
          <cell r="D209">
            <v>7</v>
          </cell>
          <cell r="E209">
            <v>9.8000000000000007</v>
          </cell>
          <cell r="J209">
            <v>6</v>
          </cell>
          <cell r="K209">
            <v>3000</v>
          </cell>
          <cell r="P209">
            <v>6000</v>
          </cell>
          <cell r="Q209">
            <v>11.4</v>
          </cell>
          <cell r="R209">
            <v>1</v>
          </cell>
          <cell r="S209">
            <v>7.3</v>
          </cell>
          <cell r="T209">
            <v>43</v>
          </cell>
          <cell r="U209">
            <v>6</v>
          </cell>
        </row>
        <row r="210">
          <cell r="A210" t="str">
            <v>SBK6-0700 (560V)</v>
          </cell>
          <cell r="B210">
            <v>21</v>
          </cell>
          <cell r="C210">
            <v>25.3</v>
          </cell>
          <cell r="D210">
            <v>7</v>
          </cell>
          <cell r="E210">
            <v>5.5</v>
          </cell>
          <cell r="L210">
            <v>6</v>
          </cell>
          <cell r="M210">
            <v>3000</v>
          </cell>
          <cell r="P210">
            <v>6000</v>
          </cell>
          <cell r="Q210">
            <v>11.4</v>
          </cell>
          <cell r="R210">
            <v>3.3</v>
          </cell>
          <cell r="S210">
            <v>23.3</v>
          </cell>
          <cell r="T210">
            <v>77</v>
          </cell>
          <cell r="U210">
            <v>6</v>
          </cell>
        </row>
        <row r="211">
          <cell r="A211" t="str">
            <v>SBK7-0650 (320V)</v>
          </cell>
          <cell r="B211">
            <v>19.5</v>
          </cell>
          <cell r="C211">
            <v>39</v>
          </cell>
          <cell r="D211">
            <v>6.5</v>
          </cell>
          <cell r="E211">
            <v>8.5</v>
          </cell>
          <cell r="J211">
            <v>5</v>
          </cell>
          <cell r="K211">
            <v>3000</v>
          </cell>
          <cell r="P211">
            <v>6000</v>
          </cell>
          <cell r="Q211">
            <v>32.4</v>
          </cell>
          <cell r="R211">
            <v>1.31</v>
          </cell>
          <cell r="S211">
            <v>4.2</v>
          </cell>
          <cell r="T211">
            <v>46</v>
          </cell>
          <cell r="U211">
            <v>6</v>
          </cell>
        </row>
        <row r="212">
          <cell r="A212" t="str">
            <v>SBK7-0650 (560V)</v>
          </cell>
          <cell r="B212">
            <v>19.5</v>
          </cell>
          <cell r="C212">
            <v>21</v>
          </cell>
          <cell r="D212">
            <v>6.5</v>
          </cell>
          <cell r="E212">
            <v>4.5</v>
          </cell>
          <cell r="L212">
            <v>5</v>
          </cell>
          <cell r="M212">
            <v>3000</v>
          </cell>
          <cell r="P212">
            <v>6000</v>
          </cell>
          <cell r="Q212">
            <v>32.4</v>
          </cell>
          <cell r="R212">
            <v>4.2</v>
          </cell>
          <cell r="S212">
            <v>22</v>
          </cell>
          <cell r="T212">
            <v>86.5</v>
          </cell>
          <cell r="U212">
            <v>6</v>
          </cell>
        </row>
        <row r="213">
          <cell r="A213" t="str">
            <v>SBK7-1200 (320V)</v>
          </cell>
          <cell r="B213">
            <v>36</v>
          </cell>
          <cell r="C213">
            <v>59</v>
          </cell>
          <cell r="D213">
            <v>12</v>
          </cell>
          <cell r="E213">
            <v>12.7</v>
          </cell>
          <cell r="J213">
            <v>10</v>
          </cell>
          <cell r="K213">
            <v>3000</v>
          </cell>
          <cell r="P213">
            <v>6000</v>
          </cell>
          <cell r="Q213">
            <v>53.1</v>
          </cell>
          <cell r="R213">
            <v>0.54</v>
          </cell>
          <cell r="S213">
            <v>3.9</v>
          </cell>
          <cell r="T213">
            <v>57</v>
          </cell>
          <cell r="U213">
            <v>6</v>
          </cell>
        </row>
        <row r="214">
          <cell r="A214" t="str">
            <v>SBK7-1200 (560V)</v>
          </cell>
          <cell r="B214">
            <v>36</v>
          </cell>
          <cell r="C214">
            <v>34.5</v>
          </cell>
          <cell r="D214">
            <v>12</v>
          </cell>
          <cell r="E214">
            <v>7.4</v>
          </cell>
          <cell r="L214">
            <v>10</v>
          </cell>
          <cell r="M214">
            <v>3000</v>
          </cell>
          <cell r="P214">
            <v>6000</v>
          </cell>
          <cell r="Q214">
            <v>53.1</v>
          </cell>
          <cell r="R214">
            <v>1.65</v>
          </cell>
          <cell r="S214">
            <v>11.5</v>
          </cell>
          <cell r="T214">
            <v>97.5</v>
          </cell>
          <cell r="U214">
            <v>6</v>
          </cell>
        </row>
        <row r="215">
          <cell r="A215" t="str">
            <v>SBK7-1950 (320V)</v>
          </cell>
          <cell r="B215">
            <v>58.5</v>
          </cell>
          <cell r="C215">
            <v>100</v>
          </cell>
          <cell r="D215">
            <v>19.5</v>
          </cell>
          <cell r="E215">
            <v>21.8</v>
          </cell>
          <cell r="J215">
            <v>15</v>
          </cell>
          <cell r="K215">
            <v>3000</v>
          </cell>
          <cell r="P215">
            <v>6000</v>
          </cell>
          <cell r="Q215">
            <v>69.2</v>
          </cell>
          <cell r="R215">
            <v>0.25</v>
          </cell>
          <cell r="S215">
            <v>1.4</v>
          </cell>
          <cell r="T215">
            <v>54</v>
          </cell>
          <cell r="U215">
            <v>6</v>
          </cell>
        </row>
        <row r="216">
          <cell r="A216" t="str">
            <v>SBK7-1950 (560V)</v>
          </cell>
          <cell r="B216">
            <v>58.5</v>
          </cell>
          <cell r="C216">
            <v>55</v>
          </cell>
          <cell r="D216">
            <v>19.5</v>
          </cell>
          <cell r="E216">
            <v>11.8</v>
          </cell>
          <cell r="L216">
            <v>15</v>
          </cell>
          <cell r="M216">
            <v>3000</v>
          </cell>
          <cell r="P216">
            <v>6000</v>
          </cell>
          <cell r="Q216">
            <v>69.2</v>
          </cell>
          <cell r="R216">
            <v>0.9</v>
          </cell>
          <cell r="S216">
            <v>7</v>
          </cell>
          <cell r="T216">
            <v>100</v>
          </cell>
          <cell r="U216">
            <v>6</v>
          </cell>
        </row>
        <row r="217">
          <cell r="A217" t="str">
            <v>SBL2-0020 (320V)</v>
          </cell>
          <cell r="B217">
            <v>0.8</v>
          </cell>
          <cell r="C217">
            <v>2.7</v>
          </cell>
          <cell r="D217">
            <v>0.2</v>
          </cell>
          <cell r="E217">
            <v>0.57999999999999996</v>
          </cell>
          <cell r="J217">
            <v>0.19</v>
          </cell>
          <cell r="K217">
            <v>4500</v>
          </cell>
          <cell r="P217">
            <v>12000</v>
          </cell>
          <cell r="Q217">
            <v>0.06</v>
          </cell>
          <cell r="R217">
            <v>55</v>
          </cell>
          <cell r="S217">
            <v>29.5</v>
          </cell>
          <cell r="T217">
            <v>21</v>
          </cell>
          <cell r="U217">
            <v>6</v>
          </cell>
        </row>
        <row r="218">
          <cell r="A218" t="str">
            <v>SBL2-0020 (560V)</v>
          </cell>
          <cell r="B218">
            <v>0.8</v>
          </cell>
          <cell r="C218">
            <v>2</v>
          </cell>
          <cell r="D218">
            <v>0.2</v>
          </cell>
          <cell r="E218">
            <v>0.46</v>
          </cell>
          <cell r="L218">
            <v>0.19</v>
          </cell>
          <cell r="M218">
            <v>4500</v>
          </cell>
          <cell r="P218">
            <v>12000</v>
          </cell>
          <cell r="Q218">
            <v>0.06</v>
          </cell>
          <cell r="R218">
            <v>105</v>
          </cell>
          <cell r="S218">
            <v>52</v>
          </cell>
          <cell r="T218">
            <v>26.5</v>
          </cell>
          <cell r="U218">
            <v>6</v>
          </cell>
        </row>
        <row r="219">
          <cell r="A219" t="str">
            <v>SBL2-0040 (320V)</v>
          </cell>
          <cell r="B219">
            <v>1.6</v>
          </cell>
          <cell r="C219">
            <v>4.3</v>
          </cell>
          <cell r="D219">
            <v>0.4</v>
          </cell>
          <cell r="E219">
            <v>0.93</v>
          </cell>
          <cell r="J219">
            <v>0.36</v>
          </cell>
          <cell r="K219">
            <v>4500</v>
          </cell>
          <cell r="P219">
            <v>12000</v>
          </cell>
          <cell r="Q219">
            <v>0.08</v>
          </cell>
          <cell r="R219">
            <v>26.5</v>
          </cell>
          <cell r="S219">
            <v>20</v>
          </cell>
          <cell r="T219">
            <v>26</v>
          </cell>
          <cell r="U219">
            <v>6</v>
          </cell>
        </row>
        <row r="220">
          <cell r="A220" t="str">
            <v>SBL2-0040 (560V)</v>
          </cell>
          <cell r="B220">
            <v>1.6</v>
          </cell>
          <cell r="C220">
            <v>2.4</v>
          </cell>
          <cell r="D220">
            <v>0.4</v>
          </cell>
          <cell r="E220">
            <v>0.55000000000000004</v>
          </cell>
          <cell r="L220">
            <v>0.36</v>
          </cell>
          <cell r="M220">
            <v>4500</v>
          </cell>
          <cell r="P220">
            <v>12000</v>
          </cell>
          <cell r="Q220">
            <v>0.08</v>
          </cell>
          <cell r="R220">
            <v>78.7</v>
          </cell>
          <cell r="S220">
            <v>59.5</v>
          </cell>
          <cell r="T220">
            <v>44</v>
          </cell>
          <cell r="U220">
            <v>6</v>
          </cell>
        </row>
        <row r="221">
          <cell r="A221" t="str">
            <v>SBL2-0060 (320V)</v>
          </cell>
          <cell r="B221">
            <v>2.4</v>
          </cell>
          <cell r="C221">
            <v>5.3</v>
          </cell>
          <cell r="D221">
            <v>0.6</v>
          </cell>
          <cell r="E221">
            <v>1.17</v>
          </cell>
          <cell r="J221">
            <v>0.55000000000000004</v>
          </cell>
          <cell r="K221">
            <v>4500</v>
          </cell>
          <cell r="P221">
            <v>12000</v>
          </cell>
          <cell r="Q221">
            <v>0.11</v>
          </cell>
          <cell r="R221">
            <v>19.7</v>
          </cell>
          <cell r="S221">
            <v>17</v>
          </cell>
          <cell r="T221">
            <v>31</v>
          </cell>
          <cell r="U221">
            <v>6</v>
          </cell>
        </row>
        <row r="222">
          <cell r="A222" t="str">
            <v>SBL2-0060 (560V)</v>
          </cell>
          <cell r="B222">
            <v>2.4</v>
          </cell>
          <cell r="C222">
            <v>3.3</v>
          </cell>
          <cell r="D222">
            <v>0.6</v>
          </cell>
          <cell r="E222">
            <v>0.73</v>
          </cell>
          <cell r="L222">
            <v>0.55000000000000004</v>
          </cell>
          <cell r="M222">
            <v>4500</v>
          </cell>
          <cell r="P222">
            <v>12000</v>
          </cell>
          <cell r="Q222">
            <v>0.11</v>
          </cell>
          <cell r="R222">
            <v>52</v>
          </cell>
          <cell r="S222">
            <v>45</v>
          </cell>
          <cell r="T222">
            <v>49.5</v>
          </cell>
          <cell r="U222">
            <v>6</v>
          </cell>
        </row>
        <row r="223">
          <cell r="A223" t="str">
            <v>SBL2-0080 (320V)</v>
          </cell>
          <cell r="B223">
            <v>3.2</v>
          </cell>
          <cell r="C223">
            <v>6.8</v>
          </cell>
          <cell r="D223">
            <v>0.8</v>
          </cell>
          <cell r="E223">
            <v>1.5</v>
          </cell>
          <cell r="J223">
            <v>0.72</v>
          </cell>
          <cell r="K223">
            <v>4500</v>
          </cell>
          <cell r="P223">
            <v>12000</v>
          </cell>
          <cell r="Q223">
            <v>0.13</v>
          </cell>
          <cell r="R223">
            <v>14.7</v>
          </cell>
          <cell r="S223">
            <v>13</v>
          </cell>
          <cell r="T223">
            <v>33</v>
          </cell>
          <cell r="U223">
            <v>6</v>
          </cell>
        </row>
        <row r="224">
          <cell r="A224" t="str">
            <v>SBL2-0080 (560V)</v>
          </cell>
          <cell r="B224">
            <v>3.2</v>
          </cell>
          <cell r="C224">
            <v>4.2</v>
          </cell>
          <cell r="D224">
            <v>0.8</v>
          </cell>
          <cell r="E224">
            <v>1</v>
          </cell>
          <cell r="L224">
            <v>0.72</v>
          </cell>
          <cell r="M224">
            <v>4500</v>
          </cell>
          <cell r="P224">
            <v>12000</v>
          </cell>
          <cell r="Q224">
            <v>0.13</v>
          </cell>
          <cell r="R224">
            <v>38</v>
          </cell>
          <cell r="S224">
            <v>39</v>
          </cell>
          <cell r="T224">
            <v>50</v>
          </cell>
          <cell r="U224">
            <v>6</v>
          </cell>
        </row>
        <row r="225">
          <cell r="A225" t="str">
            <v>SBL3-0065 (320V)</v>
          </cell>
          <cell r="B225">
            <v>2.6</v>
          </cell>
          <cell r="C225">
            <v>5</v>
          </cell>
          <cell r="D225">
            <v>0.65</v>
          </cell>
          <cell r="E225">
            <v>1.1000000000000001</v>
          </cell>
          <cell r="J225">
            <v>0.6</v>
          </cell>
          <cell r="K225">
            <v>3000</v>
          </cell>
          <cell r="P225">
            <v>12000</v>
          </cell>
          <cell r="Q225">
            <v>0.5</v>
          </cell>
          <cell r="R225">
            <v>28.5</v>
          </cell>
          <cell r="S225">
            <v>33</v>
          </cell>
          <cell r="T225">
            <v>36.5</v>
          </cell>
          <cell r="U225">
            <v>6</v>
          </cell>
        </row>
        <row r="226">
          <cell r="A226" t="str">
            <v>SBL3-0065 (560V)</v>
          </cell>
          <cell r="B226">
            <v>2.6</v>
          </cell>
          <cell r="C226">
            <v>3</v>
          </cell>
          <cell r="D226">
            <v>0.65</v>
          </cell>
          <cell r="E226">
            <v>0.67</v>
          </cell>
          <cell r="L226">
            <v>0.6</v>
          </cell>
          <cell r="M226">
            <v>3000</v>
          </cell>
          <cell r="P226">
            <v>12000</v>
          </cell>
          <cell r="Q226">
            <v>0.5</v>
          </cell>
          <cell r="R226">
            <v>79</v>
          </cell>
          <cell r="S226">
            <v>83</v>
          </cell>
          <cell r="T226">
            <v>59</v>
          </cell>
          <cell r="U226">
            <v>6</v>
          </cell>
        </row>
        <row r="227">
          <cell r="A227" t="str">
            <v>SBL3-0130 (320V)</v>
          </cell>
          <cell r="B227">
            <v>5.2</v>
          </cell>
          <cell r="C227">
            <v>7.5</v>
          </cell>
          <cell r="D227">
            <v>1.3</v>
          </cell>
          <cell r="E227">
            <v>1.7</v>
          </cell>
          <cell r="J227">
            <v>1.1499999999999999</v>
          </cell>
          <cell r="K227">
            <v>3000</v>
          </cell>
          <cell r="P227">
            <v>12000</v>
          </cell>
          <cell r="Q227">
            <v>0.8</v>
          </cell>
          <cell r="R227">
            <v>13</v>
          </cell>
          <cell r="S227">
            <v>22</v>
          </cell>
          <cell r="T227">
            <v>47</v>
          </cell>
          <cell r="U227">
            <v>6</v>
          </cell>
        </row>
        <row r="228">
          <cell r="A228" t="str">
            <v>SBL3-0130 (560V)</v>
          </cell>
          <cell r="B228">
            <v>5.2</v>
          </cell>
          <cell r="C228">
            <v>4.5</v>
          </cell>
          <cell r="D228">
            <v>1.3</v>
          </cell>
          <cell r="E228">
            <v>1</v>
          </cell>
          <cell r="L228">
            <v>1.1499999999999999</v>
          </cell>
          <cell r="M228">
            <v>3000</v>
          </cell>
          <cell r="P228">
            <v>12000</v>
          </cell>
          <cell r="Q228">
            <v>0.8</v>
          </cell>
          <cell r="R228">
            <v>35.5</v>
          </cell>
          <cell r="S228">
            <v>61</v>
          </cell>
          <cell r="T228">
            <v>77.5</v>
          </cell>
          <cell r="U228">
            <v>6</v>
          </cell>
        </row>
        <row r="229">
          <cell r="A229" t="str">
            <v>SBL3-0190 (320V)</v>
          </cell>
          <cell r="B229">
            <v>7.6</v>
          </cell>
          <cell r="C229">
            <v>12.1</v>
          </cell>
          <cell r="D229">
            <v>1.9</v>
          </cell>
          <cell r="E229">
            <v>2.6</v>
          </cell>
          <cell r="J229">
            <v>1.6</v>
          </cell>
          <cell r="K229">
            <v>3000</v>
          </cell>
          <cell r="P229">
            <v>12000</v>
          </cell>
          <cell r="Q229">
            <v>1</v>
          </cell>
          <cell r="R229">
            <v>6.8</v>
          </cell>
          <cell r="S229">
            <v>13</v>
          </cell>
          <cell r="T229">
            <v>43.5</v>
          </cell>
          <cell r="U229">
            <v>6</v>
          </cell>
        </row>
        <row r="230">
          <cell r="A230" t="str">
            <v>SBL3-0190 (560V)</v>
          </cell>
          <cell r="B230">
            <v>7.6</v>
          </cell>
          <cell r="C230">
            <v>6.9</v>
          </cell>
          <cell r="D230">
            <v>1.9</v>
          </cell>
          <cell r="E230">
            <v>1.5</v>
          </cell>
          <cell r="L230">
            <v>1.6</v>
          </cell>
          <cell r="M230">
            <v>3000</v>
          </cell>
          <cell r="P230">
            <v>12000</v>
          </cell>
          <cell r="Q230">
            <v>1</v>
          </cell>
          <cell r="R230">
            <v>21.3</v>
          </cell>
          <cell r="S230">
            <v>40</v>
          </cell>
          <cell r="T230">
            <v>77</v>
          </cell>
          <cell r="U230">
            <v>6</v>
          </cell>
        </row>
        <row r="231">
          <cell r="A231" t="str">
            <v>SBL3-0250 (320V)</v>
          </cell>
          <cell r="B231">
            <v>10</v>
          </cell>
          <cell r="C231">
            <v>13.5</v>
          </cell>
          <cell r="D231">
            <v>2.5</v>
          </cell>
          <cell r="E231">
            <v>3</v>
          </cell>
          <cell r="J231">
            <v>2.15</v>
          </cell>
          <cell r="K231">
            <v>3000</v>
          </cell>
          <cell r="P231">
            <v>12000</v>
          </cell>
          <cell r="Q231">
            <v>1.4</v>
          </cell>
          <cell r="R231">
            <v>5.3</v>
          </cell>
          <cell r="S231">
            <v>12</v>
          </cell>
          <cell r="T231">
            <v>49</v>
          </cell>
          <cell r="U231">
            <v>6</v>
          </cell>
        </row>
        <row r="232">
          <cell r="A232" t="str">
            <v>SBL3-0250 (560V)</v>
          </cell>
          <cell r="B232">
            <v>10</v>
          </cell>
          <cell r="C232">
            <v>8.1999999999999993</v>
          </cell>
          <cell r="D232">
            <v>2.5</v>
          </cell>
          <cell r="E232">
            <v>1.8</v>
          </cell>
          <cell r="L232">
            <v>2.15</v>
          </cell>
          <cell r="M232">
            <v>3000</v>
          </cell>
          <cell r="P232">
            <v>12000</v>
          </cell>
          <cell r="Q232">
            <v>1.4</v>
          </cell>
          <cell r="R232">
            <v>14.8</v>
          </cell>
          <cell r="S232">
            <v>31.4</v>
          </cell>
          <cell r="T232">
            <v>83</v>
          </cell>
          <cell r="U232">
            <v>6</v>
          </cell>
        </row>
        <row r="233">
          <cell r="A233" t="str">
            <v>SBL3-0300 (320V)</v>
          </cell>
          <cell r="B233">
            <v>12</v>
          </cell>
          <cell r="C233">
            <v>17.399999999999999</v>
          </cell>
          <cell r="D233">
            <v>3</v>
          </cell>
          <cell r="E233">
            <v>3.8</v>
          </cell>
          <cell r="J233">
            <v>2.5</v>
          </cell>
          <cell r="K233">
            <v>3000</v>
          </cell>
          <cell r="P233">
            <v>12000</v>
          </cell>
          <cell r="Q233">
            <v>1.7</v>
          </cell>
          <cell r="R233">
            <v>3.7</v>
          </cell>
          <cell r="S233">
            <v>8.4</v>
          </cell>
          <cell r="T233">
            <v>48</v>
          </cell>
          <cell r="U233">
            <v>6</v>
          </cell>
        </row>
        <row r="234">
          <cell r="A234" t="str">
            <v>SBL3-0300 (560V)</v>
          </cell>
          <cell r="B234">
            <v>12</v>
          </cell>
          <cell r="C234">
            <v>9.5</v>
          </cell>
          <cell r="D234">
            <v>3</v>
          </cell>
          <cell r="E234">
            <v>2.1</v>
          </cell>
          <cell r="L234">
            <v>2.5</v>
          </cell>
          <cell r="M234">
            <v>3000</v>
          </cell>
          <cell r="P234">
            <v>12000</v>
          </cell>
          <cell r="Q234">
            <v>1.7</v>
          </cell>
          <cell r="R234">
            <v>11.5</v>
          </cell>
          <cell r="S234">
            <v>25</v>
          </cell>
          <cell r="T234">
            <v>88</v>
          </cell>
          <cell r="U234">
            <v>6</v>
          </cell>
        </row>
        <row r="235">
          <cell r="A235" t="str">
            <v>SBL4-0260 (320V)</v>
          </cell>
          <cell r="B235">
            <v>10.4</v>
          </cell>
          <cell r="C235">
            <v>15.7</v>
          </cell>
          <cell r="D235">
            <v>2.6</v>
          </cell>
          <cell r="E235">
            <v>3.4</v>
          </cell>
          <cell r="J235">
            <v>2.2999999999999998</v>
          </cell>
          <cell r="K235">
            <v>3000</v>
          </cell>
          <cell r="P235">
            <v>12000</v>
          </cell>
          <cell r="Q235">
            <v>2.1</v>
          </cell>
          <cell r="R235">
            <v>3.1</v>
          </cell>
          <cell r="S235">
            <v>1.7</v>
          </cell>
          <cell r="T235">
            <v>46</v>
          </cell>
          <cell r="U235">
            <v>6</v>
          </cell>
        </row>
        <row r="236">
          <cell r="A236" t="str">
            <v>SBL4-0260 (560V)</v>
          </cell>
          <cell r="B236">
            <v>10.4</v>
          </cell>
          <cell r="C236">
            <v>8.6</v>
          </cell>
          <cell r="D236">
            <v>2.6</v>
          </cell>
          <cell r="E236">
            <v>1.9</v>
          </cell>
          <cell r="L236">
            <v>2.2999999999999998</v>
          </cell>
          <cell r="M236">
            <v>3000</v>
          </cell>
          <cell r="P236">
            <v>12000</v>
          </cell>
          <cell r="Q236">
            <v>2.1</v>
          </cell>
          <cell r="R236">
            <v>9.5</v>
          </cell>
          <cell r="S236">
            <v>40</v>
          </cell>
          <cell r="T236">
            <v>8.1999999999999993</v>
          </cell>
          <cell r="U236">
            <v>6</v>
          </cell>
        </row>
        <row r="237">
          <cell r="A237" t="str">
            <v>SBL4-0530 (320V)</v>
          </cell>
          <cell r="B237">
            <v>21.2</v>
          </cell>
          <cell r="C237">
            <v>30</v>
          </cell>
          <cell r="D237">
            <v>5.3</v>
          </cell>
          <cell r="E237">
            <v>6.5</v>
          </cell>
          <cell r="J237">
            <v>4.5999999999999996</v>
          </cell>
          <cell r="K237">
            <v>3000</v>
          </cell>
          <cell r="P237">
            <v>12000</v>
          </cell>
          <cell r="Q237">
            <v>2.8</v>
          </cell>
          <cell r="R237">
            <v>1.65</v>
          </cell>
          <cell r="S237">
            <v>9.3000000000000007</v>
          </cell>
          <cell r="T237">
            <v>49</v>
          </cell>
          <cell r="U237">
            <v>6</v>
          </cell>
        </row>
        <row r="238">
          <cell r="A238" t="str">
            <v>SBL4-0530 (560V)</v>
          </cell>
          <cell r="B238">
            <v>21.2</v>
          </cell>
          <cell r="C238">
            <v>18</v>
          </cell>
          <cell r="D238">
            <v>5.3</v>
          </cell>
          <cell r="E238">
            <v>4</v>
          </cell>
          <cell r="L238">
            <v>4.5999999999999996</v>
          </cell>
          <cell r="M238">
            <v>3000</v>
          </cell>
          <cell r="P238">
            <v>12000</v>
          </cell>
          <cell r="Q238">
            <v>2.8</v>
          </cell>
          <cell r="R238">
            <v>4.0999999999999996</v>
          </cell>
          <cell r="S238">
            <v>20.7</v>
          </cell>
          <cell r="T238">
            <v>80</v>
          </cell>
          <cell r="U238">
            <v>6</v>
          </cell>
        </row>
        <row r="239">
          <cell r="A239" t="str">
            <v>SBL4-0750 (320V)</v>
          </cell>
          <cell r="B239">
            <v>30</v>
          </cell>
          <cell r="C239">
            <v>43</v>
          </cell>
          <cell r="D239">
            <v>7.5</v>
          </cell>
          <cell r="E239">
            <v>9.3000000000000007</v>
          </cell>
          <cell r="J239">
            <v>6.4</v>
          </cell>
          <cell r="K239">
            <v>3000</v>
          </cell>
          <cell r="P239">
            <v>12000</v>
          </cell>
          <cell r="Q239">
            <v>4.3</v>
          </cell>
          <cell r="R239">
            <v>0.86</v>
          </cell>
          <cell r="S239">
            <v>5.3</v>
          </cell>
          <cell r="T239">
            <v>49</v>
          </cell>
          <cell r="U239">
            <v>6</v>
          </cell>
        </row>
        <row r="240">
          <cell r="A240" t="str">
            <v>SBL4-0750 (560V)</v>
          </cell>
          <cell r="B240">
            <v>30</v>
          </cell>
          <cell r="C240">
            <v>22</v>
          </cell>
          <cell r="D240">
            <v>7.5</v>
          </cell>
          <cell r="E240">
            <v>4.7</v>
          </cell>
          <cell r="L240">
            <v>6.4</v>
          </cell>
          <cell r="M240">
            <v>3000</v>
          </cell>
          <cell r="P240">
            <v>12000</v>
          </cell>
          <cell r="Q240">
            <v>4.3</v>
          </cell>
          <cell r="R240">
            <v>2.9</v>
          </cell>
          <cell r="S240">
            <v>17</v>
          </cell>
          <cell r="T240">
            <v>96</v>
          </cell>
          <cell r="U240">
            <v>6</v>
          </cell>
        </row>
        <row r="241">
          <cell r="A241" t="str">
            <v>SBL5-0660 (320V)</v>
          </cell>
          <cell r="B241">
            <v>19.8</v>
          </cell>
          <cell r="C241">
            <v>35</v>
          </cell>
          <cell r="D241">
            <v>6.6</v>
          </cell>
          <cell r="E241">
            <v>7.7</v>
          </cell>
          <cell r="J241">
            <v>5.6</v>
          </cell>
          <cell r="K241">
            <v>3000</v>
          </cell>
          <cell r="P241">
            <v>9000</v>
          </cell>
          <cell r="Q241">
            <v>8.9</v>
          </cell>
          <cell r="R241">
            <v>1.2</v>
          </cell>
          <cell r="S241">
            <v>7.2</v>
          </cell>
          <cell r="T241">
            <v>52</v>
          </cell>
          <cell r="U241">
            <v>6</v>
          </cell>
        </row>
        <row r="242">
          <cell r="A242" t="str">
            <v>SBL5-0660 (560V)</v>
          </cell>
          <cell r="B242">
            <v>19.8</v>
          </cell>
          <cell r="C242">
            <v>21</v>
          </cell>
          <cell r="D242">
            <v>6.6</v>
          </cell>
          <cell r="E242">
            <v>4.5999999999999996</v>
          </cell>
          <cell r="L242">
            <v>5.6</v>
          </cell>
          <cell r="M242">
            <v>3000</v>
          </cell>
          <cell r="P242">
            <v>9000</v>
          </cell>
          <cell r="Q242">
            <v>8.9</v>
          </cell>
          <cell r="R242">
            <v>3.55</v>
          </cell>
          <cell r="S242">
            <v>17.3</v>
          </cell>
          <cell r="T242">
            <v>87.5</v>
          </cell>
          <cell r="U242">
            <v>6</v>
          </cell>
        </row>
        <row r="243">
          <cell r="A243" t="str">
            <v>SBL5-1050 (320V)</v>
          </cell>
          <cell r="B243">
            <v>31.5</v>
          </cell>
          <cell r="C243">
            <v>61</v>
          </cell>
          <cell r="D243">
            <v>10.5</v>
          </cell>
          <cell r="E243">
            <v>12.7</v>
          </cell>
          <cell r="J243">
            <v>8.5</v>
          </cell>
          <cell r="K243">
            <v>3000</v>
          </cell>
          <cell r="P243">
            <v>9000</v>
          </cell>
          <cell r="Q243">
            <v>11.9</v>
          </cell>
          <cell r="R243">
            <v>0.57999999999999996</v>
          </cell>
          <cell r="S243">
            <v>4.3</v>
          </cell>
          <cell r="T243">
            <v>50</v>
          </cell>
          <cell r="U243">
            <v>6</v>
          </cell>
        </row>
        <row r="244">
          <cell r="A244" t="str">
            <v>SBL5-1050 (560V)</v>
          </cell>
          <cell r="B244">
            <v>31.5</v>
          </cell>
          <cell r="C244">
            <v>34</v>
          </cell>
          <cell r="D244">
            <v>10.5</v>
          </cell>
          <cell r="E244">
            <v>7.1</v>
          </cell>
          <cell r="L244">
            <v>8.5</v>
          </cell>
          <cell r="M244">
            <v>3000</v>
          </cell>
          <cell r="P244">
            <v>9000</v>
          </cell>
          <cell r="Q244">
            <v>11.9</v>
          </cell>
          <cell r="R244">
            <v>1.7</v>
          </cell>
          <cell r="S244">
            <v>11.5</v>
          </cell>
          <cell r="T244">
            <v>90</v>
          </cell>
          <cell r="U244">
            <v>6</v>
          </cell>
        </row>
        <row r="245">
          <cell r="A245" t="str">
            <v>SBL5-1350 (320V)</v>
          </cell>
          <cell r="B245">
            <v>40.5</v>
          </cell>
          <cell r="C245">
            <v>80</v>
          </cell>
          <cell r="D245">
            <v>13.5</v>
          </cell>
          <cell r="E245">
            <v>16.8</v>
          </cell>
          <cell r="J245">
            <v>10.7</v>
          </cell>
          <cell r="K245">
            <v>3000</v>
          </cell>
          <cell r="P245">
            <v>9000</v>
          </cell>
          <cell r="Q245">
            <v>13.4</v>
          </cell>
          <cell r="R245">
            <v>0.5</v>
          </cell>
          <cell r="S245">
            <v>4.3</v>
          </cell>
          <cell r="T245">
            <v>51</v>
          </cell>
          <cell r="U245">
            <v>6</v>
          </cell>
        </row>
        <row r="246">
          <cell r="A246" t="str">
            <v>SBL5-1350 (560V)</v>
          </cell>
          <cell r="B246">
            <v>40.5</v>
          </cell>
          <cell r="C246">
            <v>42</v>
          </cell>
          <cell r="D246">
            <v>13.5</v>
          </cell>
          <cell r="E246">
            <v>9.1</v>
          </cell>
          <cell r="L246">
            <v>10.7</v>
          </cell>
          <cell r="M246">
            <v>3000</v>
          </cell>
          <cell r="P246">
            <v>9000</v>
          </cell>
          <cell r="Q246">
            <v>13.4</v>
          </cell>
          <cell r="R246">
            <v>1.36</v>
          </cell>
          <cell r="S246">
            <v>11</v>
          </cell>
          <cell r="T246">
            <v>90</v>
          </cell>
          <cell r="U246">
            <v>6</v>
          </cell>
        </row>
        <row r="247">
          <cell r="A247" t="str">
            <v>SBL5-1700 (320V)</v>
          </cell>
          <cell r="B247">
            <v>51</v>
          </cell>
          <cell r="C247">
            <v>95</v>
          </cell>
          <cell r="D247">
            <v>17</v>
          </cell>
          <cell r="E247">
            <v>20.6</v>
          </cell>
          <cell r="J247">
            <v>14</v>
          </cell>
          <cell r="K247">
            <v>3000</v>
          </cell>
          <cell r="P247">
            <v>9000</v>
          </cell>
          <cell r="Q247">
            <v>17.2</v>
          </cell>
          <cell r="R247">
            <v>0.31</v>
          </cell>
          <cell r="S247">
            <v>2.2999999999999998</v>
          </cell>
          <cell r="T247">
            <v>50</v>
          </cell>
          <cell r="U247">
            <v>6</v>
          </cell>
        </row>
        <row r="248">
          <cell r="A248" t="str">
            <v>SBL5-1700 (560V)</v>
          </cell>
          <cell r="B248">
            <v>51</v>
          </cell>
          <cell r="C248">
            <v>52</v>
          </cell>
          <cell r="D248">
            <v>17</v>
          </cell>
          <cell r="E248">
            <v>10.7</v>
          </cell>
          <cell r="L248">
            <v>14</v>
          </cell>
          <cell r="M248">
            <v>3000</v>
          </cell>
          <cell r="P248">
            <v>9000</v>
          </cell>
          <cell r="Q248">
            <v>17.2</v>
          </cell>
          <cell r="R248">
            <v>1.1000000000000001</v>
          </cell>
          <cell r="S248">
            <v>8</v>
          </cell>
          <cell r="T248">
            <v>96</v>
          </cell>
          <cell r="U248">
            <v>6</v>
          </cell>
        </row>
        <row r="249">
          <cell r="A249" t="str">
            <v>SBL5-2200 (320V)</v>
          </cell>
          <cell r="B249">
            <v>66</v>
          </cell>
          <cell r="C249">
            <v>117</v>
          </cell>
          <cell r="D249">
            <v>22</v>
          </cell>
          <cell r="E249">
            <v>24.6</v>
          </cell>
          <cell r="J249">
            <v>17</v>
          </cell>
          <cell r="K249">
            <v>3000</v>
          </cell>
          <cell r="P249">
            <v>9000</v>
          </cell>
          <cell r="Q249">
            <v>19.899999999999999</v>
          </cell>
          <cell r="R249">
            <v>0.27</v>
          </cell>
          <cell r="S249">
            <v>2.8</v>
          </cell>
          <cell r="T249">
            <v>54</v>
          </cell>
          <cell r="U249">
            <v>6</v>
          </cell>
        </row>
        <row r="250">
          <cell r="A250" t="str">
            <v>SBL5-2200 (560V)</v>
          </cell>
          <cell r="B250">
            <v>66</v>
          </cell>
          <cell r="C250">
            <v>70</v>
          </cell>
          <cell r="D250">
            <v>22</v>
          </cell>
          <cell r="E250">
            <v>14.8</v>
          </cell>
          <cell r="L250">
            <v>17</v>
          </cell>
          <cell r="M250">
            <v>3000</v>
          </cell>
          <cell r="P250">
            <v>9000</v>
          </cell>
          <cell r="Q250">
            <v>19.899999999999999</v>
          </cell>
          <cell r="R250">
            <v>0.75</v>
          </cell>
          <cell r="S250">
            <v>7.7</v>
          </cell>
          <cell r="T250">
            <v>90</v>
          </cell>
          <cell r="U250">
            <v>6</v>
          </cell>
        </row>
        <row r="251">
          <cell r="A251" t="str">
            <v>SBL6-1350 (320V)</v>
          </cell>
          <cell r="B251">
            <v>40.5</v>
          </cell>
          <cell r="C251">
            <v>84</v>
          </cell>
          <cell r="D251">
            <v>13.5</v>
          </cell>
          <cell r="E251">
            <v>18.3</v>
          </cell>
          <cell r="J251">
            <v>10</v>
          </cell>
          <cell r="K251">
            <v>3000</v>
          </cell>
          <cell r="P251">
            <v>6000</v>
          </cell>
          <cell r="Q251">
            <v>15.9</v>
          </cell>
          <cell r="R251">
            <v>0.52</v>
          </cell>
          <cell r="S251">
            <v>4.8</v>
          </cell>
          <cell r="T251">
            <v>44.5</v>
          </cell>
          <cell r="U251">
            <v>6</v>
          </cell>
        </row>
        <row r="252">
          <cell r="A252" t="str">
            <v>SBL6-1350 (560V)</v>
          </cell>
          <cell r="B252">
            <v>40.5</v>
          </cell>
          <cell r="C252">
            <v>50</v>
          </cell>
          <cell r="D252">
            <v>13.5</v>
          </cell>
          <cell r="E252">
            <v>10.9</v>
          </cell>
          <cell r="L252">
            <v>10</v>
          </cell>
          <cell r="M252">
            <v>3000</v>
          </cell>
          <cell r="P252">
            <v>6000</v>
          </cell>
          <cell r="Q252">
            <v>15.9</v>
          </cell>
          <cell r="R252">
            <v>1.47</v>
          </cell>
          <cell r="S252">
            <v>13.5</v>
          </cell>
          <cell r="T252">
            <v>75</v>
          </cell>
          <cell r="U252">
            <v>6</v>
          </cell>
        </row>
        <row r="253">
          <cell r="A253" t="str">
            <v>SBL6-1900 (320V)</v>
          </cell>
          <cell r="B253">
            <v>57</v>
          </cell>
          <cell r="C253">
            <v>112</v>
          </cell>
          <cell r="D253">
            <v>19</v>
          </cell>
          <cell r="E253">
            <v>23</v>
          </cell>
          <cell r="J253">
            <v>14</v>
          </cell>
          <cell r="K253">
            <v>3000</v>
          </cell>
          <cell r="P253">
            <v>6000</v>
          </cell>
          <cell r="Q253">
            <v>22</v>
          </cell>
          <cell r="R253">
            <v>0.31</v>
          </cell>
          <cell r="S253">
            <v>3.4</v>
          </cell>
          <cell r="T253">
            <v>50</v>
          </cell>
          <cell r="U253">
            <v>6</v>
          </cell>
        </row>
        <row r="254">
          <cell r="A254" t="str">
            <v>SBL6-1900 (560V)</v>
          </cell>
          <cell r="B254">
            <v>57</v>
          </cell>
          <cell r="C254">
            <v>63</v>
          </cell>
          <cell r="D254">
            <v>19</v>
          </cell>
          <cell r="E254">
            <v>13.5</v>
          </cell>
          <cell r="L254">
            <v>14</v>
          </cell>
          <cell r="M254">
            <v>3000</v>
          </cell>
          <cell r="P254">
            <v>6000</v>
          </cell>
          <cell r="Q254">
            <v>22</v>
          </cell>
          <cell r="R254">
            <v>0.88</v>
          </cell>
          <cell r="S254">
            <v>10</v>
          </cell>
          <cell r="T254">
            <v>85</v>
          </cell>
          <cell r="U254">
            <v>6</v>
          </cell>
        </row>
        <row r="255">
          <cell r="A255" t="str">
            <v>SBL6-2200 (320V)</v>
          </cell>
          <cell r="B255">
            <v>66</v>
          </cell>
          <cell r="C255">
            <v>120</v>
          </cell>
          <cell r="D255">
            <v>22</v>
          </cell>
          <cell r="E255">
            <v>26.1</v>
          </cell>
          <cell r="J255">
            <v>16</v>
          </cell>
          <cell r="K255">
            <v>3000</v>
          </cell>
          <cell r="P255">
            <v>6000</v>
          </cell>
          <cell r="Q255">
            <v>25.1</v>
          </cell>
          <cell r="R255">
            <v>0.24</v>
          </cell>
          <cell r="S255">
            <v>2.8</v>
          </cell>
          <cell r="T255">
            <v>51</v>
          </cell>
          <cell r="U255">
            <v>6</v>
          </cell>
        </row>
        <row r="256">
          <cell r="A256" t="str">
            <v>SBL6-2200 (560V)</v>
          </cell>
          <cell r="B256">
            <v>66</v>
          </cell>
          <cell r="C256">
            <v>70</v>
          </cell>
          <cell r="D256">
            <v>22</v>
          </cell>
          <cell r="E256">
            <v>15.1</v>
          </cell>
          <cell r="L256">
            <v>16</v>
          </cell>
          <cell r="M256">
            <v>3000</v>
          </cell>
          <cell r="P256">
            <v>6000</v>
          </cell>
          <cell r="Q256">
            <v>25.1</v>
          </cell>
          <cell r="R256">
            <v>0.72</v>
          </cell>
          <cell r="S256">
            <v>8.5</v>
          </cell>
          <cell r="T256">
            <v>88</v>
          </cell>
          <cell r="U256">
            <v>6</v>
          </cell>
        </row>
        <row r="257">
          <cell r="A257" t="str">
            <v>SBL6-2900 (320V)</v>
          </cell>
          <cell r="B257">
            <v>87</v>
          </cell>
          <cell r="C257">
            <v>156</v>
          </cell>
          <cell r="D257">
            <v>29</v>
          </cell>
          <cell r="E257">
            <v>37.299999999999997</v>
          </cell>
          <cell r="J257">
            <v>22</v>
          </cell>
          <cell r="K257">
            <v>3000</v>
          </cell>
          <cell r="P257">
            <v>6000</v>
          </cell>
          <cell r="Q257">
            <v>38.200000000000003</v>
          </cell>
          <cell r="R257">
            <v>0.12</v>
          </cell>
          <cell r="S257">
            <v>1.4</v>
          </cell>
          <cell r="T257">
            <v>47</v>
          </cell>
          <cell r="U257">
            <v>6</v>
          </cell>
        </row>
        <row r="258">
          <cell r="A258" t="str">
            <v>SBL6-2900 (560V)</v>
          </cell>
          <cell r="B258">
            <v>87</v>
          </cell>
          <cell r="C258">
            <v>94</v>
          </cell>
          <cell r="D258">
            <v>29</v>
          </cell>
          <cell r="E258">
            <v>20.399999999999999</v>
          </cell>
          <cell r="L258">
            <v>22</v>
          </cell>
          <cell r="M258">
            <v>3000</v>
          </cell>
          <cell r="P258">
            <v>6000</v>
          </cell>
          <cell r="Q258">
            <v>38.200000000000003</v>
          </cell>
          <cell r="R258">
            <v>0.33</v>
          </cell>
          <cell r="S258">
            <v>4.5</v>
          </cell>
          <cell r="T258">
            <v>86</v>
          </cell>
          <cell r="U258">
            <v>6</v>
          </cell>
        </row>
        <row r="259">
          <cell r="A259" t="str">
            <v>SBL7-2600 (320V)</v>
          </cell>
          <cell r="B259">
            <v>78</v>
          </cell>
          <cell r="C259">
            <v>137</v>
          </cell>
          <cell r="D259">
            <v>26</v>
          </cell>
          <cell r="E259">
            <v>30.5</v>
          </cell>
          <cell r="J259">
            <v>20</v>
          </cell>
          <cell r="K259">
            <v>3000</v>
          </cell>
          <cell r="P259">
            <v>4500</v>
          </cell>
          <cell r="Q259">
            <v>97</v>
          </cell>
          <cell r="R259">
            <v>0.14000000000000001</v>
          </cell>
          <cell r="S259">
            <v>1.3</v>
          </cell>
          <cell r="T259">
            <v>51.5</v>
          </cell>
          <cell r="U259">
            <v>6</v>
          </cell>
        </row>
        <row r="260">
          <cell r="A260" t="str">
            <v>SBL7-2600 (560V)</v>
          </cell>
          <cell r="B260">
            <v>78</v>
          </cell>
          <cell r="C260">
            <v>66</v>
          </cell>
          <cell r="D260">
            <v>26</v>
          </cell>
          <cell r="E260">
            <v>17</v>
          </cell>
          <cell r="L260">
            <v>20</v>
          </cell>
          <cell r="M260">
            <v>3000</v>
          </cell>
          <cell r="P260">
            <v>4500</v>
          </cell>
          <cell r="Q260">
            <v>97</v>
          </cell>
          <cell r="R260">
            <v>0.48</v>
          </cell>
          <cell r="S260">
            <v>4.5</v>
          </cell>
          <cell r="T260">
            <v>92.5</v>
          </cell>
          <cell r="U260">
            <v>6</v>
          </cell>
        </row>
        <row r="261">
          <cell r="A261" t="str">
            <v>SBL7-3200 (320V)</v>
          </cell>
          <cell r="B261">
            <v>96</v>
          </cell>
          <cell r="C261">
            <v>168</v>
          </cell>
          <cell r="D261">
            <v>32</v>
          </cell>
          <cell r="E261">
            <v>37.6</v>
          </cell>
          <cell r="J261">
            <v>23</v>
          </cell>
          <cell r="K261">
            <v>3000</v>
          </cell>
          <cell r="P261">
            <v>4500</v>
          </cell>
          <cell r="Q261">
            <v>114</v>
          </cell>
          <cell r="R261">
            <v>0.11</v>
          </cell>
          <cell r="S261">
            <v>1</v>
          </cell>
          <cell r="T261">
            <v>51.5</v>
          </cell>
          <cell r="U261">
            <v>6</v>
          </cell>
        </row>
        <row r="262">
          <cell r="A262" t="str">
            <v>SBL7-3200 (560V)</v>
          </cell>
          <cell r="B262">
            <v>96</v>
          </cell>
          <cell r="C262">
            <v>96</v>
          </cell>
          <cell r="D262">
            <v>32</v>
          </cell>
          <cell r="E262">
            <v>21.4</v>
          </cell>
          <cell r="L262">
            <v>23</v>
          </cell>
          <cell r="M262">
            <v>3000</v>
          </cell>
          <cell r="P262">
            <v>4500</v>
          </cell>
          <cell r="Q262">
            <v>114</v>
          </cell>
          <cell r="R262">
            <v>0.31</v>
          </cell>
          <cell r="S262">
            <v>3.1</v>
          </cell>
          <cell r="T262">
            <v>90.5</v>
          </cell>
          <cell r="U262">
            <v>6</v>
          </cell>
        </row>
        <row r="263">
          <cell r="A263" t="str">
            <v>SBL7-4000 (320V)</v>
          </cell>
          <cell r="B263">
            <v>120</v>
          </cell>
          <cell r="C263">
            <v>160</v>
          </cell>
          <cell r="D263">
            <v>40</v>
          </cell>
          <cell r="E263">
            <v>40</v>
          </cell>
          <cell r="J263">
            <v>26</v>
          </cell>
          <cell r="K263">
            <v>3000</v>
          </cell>
          <cell r="P263">
            <v>4500</v>
          </cell>
          <cell r="Q263">
            <v>139</v>
          </cell>
          <cell r="R263">
            <v>0.09</v>
          </cell>
          <cell r="S263">
            <v>1</v>
          </cell>
          <cell r="T263">
            <v>60.5</v>
          </cell>
          <cell r="U263">
            <v>6</v>
          </cell>
        </row>
        <row r="264">
          <cell r="A264" t="str">
            <v>SBL7-4000 (560V)</v>
          </cell>
          <cell r="B264">
            <v>120</v>
          </cell>
          <cell r="C264">
            <v>92</v>
          </cell>
          <cell r="D264">
            <v>40</v>
          </cell>
          <cell r="E264">
            <v>24.2</v>
          </cell>
          <cell r="L264">
            <v>26</v>
          </cell>
          <cell r="M264">
            <v>3000</v>
          </cell>
          <cell r="P264">
            <v>4500</v>
          </cell>
          <cell r="Q264">
            <v>139</v>
          </cell>
          <cell r="R264">
            <v>0.28000000000000003</v>
          </cell>
          <cell r="S264">
            <v>3.1</v>
          </cell>
          <cell r="T264">
            <v>100</v>
          </cell>
          <cell r="U264">
            <v>6</v>
          </cell>
        </row>
        <row r="265">
          <cell r="A265" t="str">
            <v>SBL8-4000 (320V)</v>
          </cell>
          <cell r="B265">
            <v>120</v>
          </cell>
          <cell r="C265">
            <v>150</v>
          </cell>
          <cell r="D265">
            <v>40</v>
          </cell>
          <cell r="E265">
            <v>38.4</v>
          </cell>
          <cell r="J265">
            <v>30</v>
          </cell>
          <cell r="K265">
            <v>3000</v>
          </cell>
          <cell r="P265">
            <v>3600</v>
          </cell>
          <cell r="Q265">
            <v>76</v>
          </cell>
          <cell r="R265">
            <v>0.08</v>
          </cell>
          <cell r="S265">
            <v>1.9</v>
          </cell>
          <cell r="T265">
            <v>63</v>
          </cell>
          <cell r="U265">
            <v>6</v>
          </cell>
        </row>
        <row r="266">
          <cell r="A266" t="str">
            <v>SBL8-4000 (560V)</v>
          </cell>
          <cell r="B266">
            <v>120</v>
          </cell>
          <cell r="C266">
            <v>86</v>
          </cell>
          <cell r="D266">
            <v>40</v>
          </cell>
          <cell r="E266">
            <v>22</v>
          </cell>
          <cell r="L266">
            <v>30</v>
          </cell>
          <cell r="M266">
            <v>3000</v>
          </cell>
          <cell r="P266">
            <v>3600</v>
          </cell>
          <cell r="Q266">
            <v>76</v>
          </cell>
          <cell r="R266">
            <v>0.26</v>
          </cell>
          <cell r="S266">
            <v>5.6</v>
          </cell>
          <cell r="T266">
            <v>110</v>
          </cell>
          <cell r="U266">
            <v>6</v>
          </cell>
        </row>
        <row r="267">
          <cell r="A267" t="str">
            <v>SBL8-6800 (320V)</v>
          </cell>
          <cell r="B267">
            <v>204</v>
          </cell>
          <cell r="C267">
            <v>253</v>
          </cell>
          <cell r="D267">
            <v>68</v>
          </cell>
          <cell r="E267">
            <v>65</v>
          </cell>
          <cell r="J267">
            <v>50</v>
          </cell>
          <cell r="K267">
            <v>3000</v>
          </cell>
          <cell r="P267">
            <v>3600</v>
          </cell>
          <cell r="Q267">
            <v>114</v>
          </cell>
          <cell r="R267">
            <v>0.04</v>
          </cell>
          <cell r="S267">
            <v>1.05</v>
          </cell>
          <cell r="T267">
            <v>63.5</v>
          </cell>
          <cell r="U267">
            <v>6</v>
          </cell>
        </row>
        <row r="268">
          <cell r="A268" t="str">
            <v>SBL8-6800 (560V)</v>
          </cell>
          <cell r="B268">
            <v>204</v>
          </cell>
          <cell r="C268">
            <v>139</v>
          </cell>
          <cell r="D268">
            <v>68</v>
          </cell>
          <cell r="E268">
            <v>36</v>
          </cell>
          <cell r="L268">
            <v>50</v>
          </cell>
          <cell r="M268">
            <v>3000</v>
          </cell>
          <cell r="P268">
            <v>3600</v>
          </cell>
          <cell r="Q268">
            <v>114</v>
          </cell>
          <cell r="R268">
            <v>0.13</v>
          </cell>
          <cell r="S268">
            <v>3.2</v>
          </cell>
          <cell r="T268">
            <v>115</v>
          </cell>
          <cell r="U268">
            <v>6</v>
          </cell>
        </row>
        <row r="269">
          <cell r="A269" t="str">
            <v>SBL8-9300 (320V)</v>
          </cell>
          <cell r="B269">
            <v>279</v>
          </cell>
          <cell r="C269">
            <v>236</v>
          </cell>
          <cell r="D269">
            <v>93</v>
          </cell>
          <cell r="E269">
            <v>60</v>
          </cell>
          <cell r="J269">
            <v>70</v>
          </cell>
          <cell r="K269">
            <v>2000</v>
          </cell>
          <cell r="P269">
            <v>3600</v>
          </cell>
          <cell r="Q269">
            <v>153</v>
          </cell>
          <cell r="R269">
            <v>0.05</v>
          </cell>
          <cell r="S269">
            <v>1.5</v>
          </cell>
          <cell r="T269">
            <v>93</v>
          </cell>
          <cell r="U269">
            <v>6</v>
          </cell>
        </row>
        <row r="270">
          <cell r="A270" t="str">
            <v>SBL8-9300 (560V)</v>
          </cell>
          <cell r="B270">
            <v>279</v>
          </cell>
          <cell r="C270">
            <v>130</v>
          </cell>
          <cell r="D270">
            <v>93</v>
          </cell>
          <cell r="E270">
            <v>34</v>
          </cell>
          <cell r="L270">
            <v>70</v>
          </cell>
          <cell r="M270">
            <v>2000</v>
          </cell>
          <cell r="P270">
            <v>3600</v>
          </cell>
          <cell r="Q270">
            <v>153</v>
          </cell>
          <cell r="R270">
            <v>0.15</v>
          </cell>
          <cell r="S270">
            <v>4.7</v>
          </cell>
          <cell r="T270">
            <v>168</v>
          </cell>
          <cell r="U270">
            <v>6</v>
          </cell>
        </row>
        <row r="271">
          <cell r="A271" t="str">
            <v>SBL8-11500 (320V)</v>
          </cell>
          <cell r="B271">
            <v>345</v>
          </cell>
          <cell r="C271">
            <v>288</v>
          </cell>
          <cell r="D271">
            <v>115</v>
          </cell>
          <cell r="E271">
            <v>74</v>
          </cell>
          <cell r="J271">
            <v>85</v>
          </cell>
          <cell r="K271">
            <v>2000</v>
          </cell>
          <cell r="P271">
            <v>3600</v>
          </cell>
          <cell r="Q271">
            <v>190</v>
          </cell>
          <cell r="R271">
            <v>0.04</v>
          </cell>
          <cell r="S271">
            <v>1.1000000000000001</v>
          </cell>
          <cell r="T271">
            <v>94</v>
          </cell>
          <cell r="U271">
            <v>6</v>
          </cell>
        </row>
        <row r="272">
          <cell r="A272" t="str">
            <v>SBL8-11500 (560V)</v>
          </cell>
          <cell r="B272">
            <v>345</v>
          </cell>
          <cell r="C272">
            <v>165</v>
          </cell>
          <cell r="D272">
            <v>115</v>
          </cell>
          <cell r="E272">
            <v>42</v>
          </cell>
          <cell r="L272">
            <v>85</v>
          </cell>
          <cell r="M272">
            <v>2000</v>
          </cell>
          <cell r="P272">
            <v>3600</v>
          </cell>
          <cell r="Q272">
            <v>190</v>
          </cell>
          <cell r="R272">
            <v>0.11</v>
          </cell>
          <cell r="S272">
            <v>3.2</v>
          </cell>
          <cell r="T272">
            <v>164</v>
          </cell>
          <cell r="U272">
            <v>6</v>
          </cell>
        </row>
        <row r="273">
          <cell r="A273" t="str">
            <v>C041A (240 V)</v>
          </cell>
          <cell r="B273">
            <v>12.3</v>
          </cell>
          <cell r="C273">
            <v>8.19</v>
          </cell>
          <cell r="D273">
            <v>4.57</v>
          </cell>
          <cell r="E273">
            <v>2.73</v>
          </cell>
          <cell r="J273">
            <v>4.2344309430620841</v>
          </cell>
          <cell r="K273">
            <v>1750</v>
          </cell>
          <cell r="P273">
            <v>1750</v>
          </cell>
          <cell r="Q273">
            <v>0.58600000000000008</v>
          </cell>
          <cell r="R273">
            <v>8.4700000000000006</v>
          </cell>
          <cell r="S273">
            <v>34.4</v>
          </cell>
          <cell r="T273">
            <v>102</v>
          </cell>
          <cell r="U273">
            <v>10</v>
          </cell>
        </row>
        <row r="274">
          <cell r="A274" t="str">
            <v>C041B (240 V)</v>
          </cell>
          <cell r="B274">
            <v>12.2</v>
          </cell>
          <cell r="C274">
            <v>14.1</v>
          </cell>
          <cell r="D274">
            <v>4.51</v>
          </cell>
          <cell r="E274">
            <v>4.6900000000000004</v>
          </cell>
          <cell r="J274">
            <v>4.0107045659157627</v>
          </cell>
          <cell r="K274">
            <v>2500</v>
          </cell>
          <cell r="P274">
            <v>2500</v>
          </cell>
          <cell r="Q274">
            <v>0.58600000000000008</v>
          </cell>
          <cell r="R274">
            <v>2.87</v>
          </cell>
          <cell r="S274">
            <v>11.4</v>
          </cell>
          <cell r="T274">
            <v>58.7</v>
          </cell>
          <cell r="U274">
            <v>10</v>
          </cell>
        </row>
        <row r="275">
          <cell r="A275" t="str">
            <v>C042A (240 V)</v>
          </cell>
          <cell r="B275">
            <v>22.2</v>
          </cell>
          <cell r="C275">
            <v>14</v>
          </cell>
          <cell r="D275">
            <v>8.26</v>
          </cell>
          <cell r="E275">
            <v>4.68</v>
          </cell>
          <cell r="J275">
            <v>7.4933892029854734</v>
          </cell>
          <cell r="K275">
            <v>1700</v>
          </cell>
          <cell r="P275">
            <v>1700</v>
          </cell>
          <cell r="Q275">
            <v>0.88700000000000001</v>
          </cell>
          <cell r="R275">
            <v>3.7</v>
          </cell>
          <cell r="S275">
            <v>18.3</v>
          </cell>
          <cell r="T275">
            <v>108</v>
          </cell>
          <cell r="U275">
            <v>10</v>
          </cell>
        </row>
        <row r="276">
          <cell r="A276" t="str">
            <v>C042B (240 V)</v>
          </cell>
          <cell r="B276">
            <v>22.8</v>
          </cell>
          <cell r="C276">
            <v>27.6</v>
          </cell>
          <cell r="D276">
            <v>8.4600000000000009</v>
          </cell>
          <cell r="E276">
            <v>9.19</v>
          </cell>
          <cell r="J276">
            <v>7.2612851236246332</v>
          </cell>
          <cell r="K276">
            <v>2500</v>
          </cell>
          <cell r="P276">
            <v>2500</v>
          </cell>
          <cell r="Q276">
            <v>0.88700000000000001</v>
          </cell>
          <cell r="R276">
            <v>0.96</v>
          </cell>
          <cell r="S276">
            <v>5</v>
          </cell>
          <cell r="T276">
            <v>56.1</v>
          </cell>
          <cell r="U276">
            <v>10</v>
          </cell>
        </row>
        <row r="277">
          <cell r="A277" t="str">
            <v>C043A (240 V)</v>
          </cell>
          <cell r="B277">
            <v>30</v>
          </cell>
          <cell r="C277">
            <v>14.2</v>
          </cell>
          <cell r="D277">
            <v>11.1</v>
          </cell>
          <cell r="E277">
            <v>4.7300000000000004</v>
          </cell>
          <cell r="J277">
            <v>10.259764251475941</v>
          </cell>
          <cell r="K277">
            <v>1250</v>
          </cell>
          <cell r="P277">
            <v>1250</v>
          </cell>
          <cell r="Q277">
            <v>1.1900000000000002</v>
          </cell>
          <cell r="R277">
            <v>3.97</v>
          </cell>
          <cell r="S277">
            <v>20.6</v>
          </cell>
          <cell r="T277">
            <v>143</v>
          </cell>
          <cell r="U277">
            <v>10</v>
          </cell>
        </row>
        <row r="278">
          <cell r="A278" t="str">
            <v>C043B (240 V)</v>
          </cell>
          <cell r="B278">
            <v>30.2</v>
          </cell>
          <cell r="C278">
            <v>27.5</v>
          </cell>
          <cell r="D278">
            <v>11.2</v>
          </cell>
          <cell r="E278">
            <v>9.15</v>
          </cell>
          <cell r="J278">
            <v>9.2284402202404596</v>
          </cell>
          <cell r="K278">
            <v>2500</v>
          </cell>
          <cell r="P278">
            <v>2500</v>
          </cell>
          <cell r="Q278">
            <v>1.1900000000000002</v>
          </cell>
          <cell r="R278">
            <v>1.06</v>
          </cell>
          <cell r="S278">
            <v>5.5</v>
          </cell>
          <cell r="T278">
            <v>74.5</v>
          </cell>
          <cell r="U278">
            <v>10</v>
          </cell>
        </row>
        <row r="279">
          <cell r="A279" t="str">
            <v>C044A (240 V)</v>
          </cell>
          <cell r="B279">
            <v>38.1</v>
          </cell>
          <cell r="C279">
            <v>15</v>
          </cell>
          <cell r="D279">
            <v>14.1</v>
          </cell>
          <cell r="E279">
            <v>5</v>
          </cell>
          <cell r="J279">
            <v>13.159840151655576</v>
          </cell>
          <cell r="K279">
            <v>1050</v>
          </cell>
          <cell r="P279">
            <v>1050</v>
          </cell>
          <cell r="Q279">
            <v>1.49</v>
          </cell>
          <cell r="R279">
            <v>4.08</v>
          </cell>
          <cell r="S279">
            <v>22.1</v>
          </cell>
          <cell r="T279">
            <v>173</v>
          </cell>
          <cell r="U279">
            <v>10</v>
          </cell>
        </row>
        <row r="280">
          <cell r="A280" t="str">
            <v>C044B (240 V)</v>
          </cell>
          <cell r="B280">
            <v>38.799999999999997</v>
          </cell>
          <cell r="C280">
            <v>29.3</v>
          </cell>
          <cell r="D280">
            <v>14.4</v>
          </cell>
          <cell r="E280">
            <v>9.5299999999999994</v>
          </cell>
          <cell r="J280">
            <v>12.080970563998754</v>
          </cell>
          <cell r="K280">
            <v>2150</v>
          </cell>
          <cell r="P280">
            <v>2100</v>
          </cell>
          <cell r="Q280">
            <v>1.49</v>
          </cell>
          <cell r="R280">
            <v>1.08</v>
          </cell>
          <cell r="S280">
            <v>6</v>
          </cell>
          <cell r="T280">
            <v>90</v>
          </cell>
          <cell r="U280">
            <v>10</v>
          </cell>
        </row>
        <row r="281">
          <cell r="A281" t="str">
            <v>C051A (240 V)</v>
          </cell>
          <cell r="B281">
            <v>30</v>
          </cell>
          <cell r="C281">
            <v>12.8</v>
          </cell>
          <cell r="D281">
            <v>11.7</v>
          </cell>
          <cell r="E281">
            <v>4.75</v>
          </cell>
          <cell r="J281">
            <v>10.941902337567806</v>
          </cell>
          <cell r="K281">
            <v>1200</v>
          </cell>
          <cell r="P281">
            <v>1200</v>
          </cell>
          <cell r="Q281">
            <v>2.7399999999999998</v>
          </cell>
          <cell r="R281">
            <v>4.13</v>
          </cell>
          <cell r="S281">
            <v>24</v>
          </cell>
          <cell r="T281">
            <v>151</v>
          </cell>
          <cell r="U281">
            <v>10</v>
          </cell>
        </row>
        <row r="282">
          <cell r="A282" t="str">
            <v>C051B (240 V)</v>
          </cell>
          <cell r="B282">
            <v>30.5</v>
          </cell>
          <cell r="C282">
            <v>25.1</v>
          </cell>
          <cell r="D282">
            <v>11.8</v>
          </cell>
          <cell r="E282">
            <v>9.2899999999999991</v>
          </cell>
          <cell r="J282">
            <v>10.161231101401743</v>
          </cell>
          <cell r="K282">
            <v>2450</v>
          </cell>
          <cell r="P282">
            <v>2450</v>
          </cell>
          <cell r="Q282">
            <v>2.7399999999999998</v>
          </cell>
          <cell r="R282">
            <v>1.08</v>
          </cell>
          <cell r="S282">
            <v>6.4</v>
          </cell>
          <cell r="T282">
            <v>78</v>
          </cell>
          <cell r="U282">
            <v>10</v>
          </cell>
        </row>
        <row r="283">
          <cell r="A283" t="str">
            <v>C052A (240 V)</v>
          </cell>
          <cell r="B283">
            <v>26.6</v>
          </cell>
          <cell r="C283">
            <v>43.1</v>
          </cell>
          <cell r="D283">
            <v>16.8</v>
          </cell>
          <cell r="E283">
            <v>9.84</v>
          </cell>
          <cell r="J283">
            <v>14.907226237277634</v>
          </cell>
          <cell r="K283">
            <v>1850</v>
          </cell>
          <cell r="P283">
            <v>1850</v>
          </cell>
          <cell r="Q283">
            <v>3.59</v>
          </cell>
          <cell r="R283">
            <v>1.1399999999999999</v>
          </cell>
          <cell r="S283">
            <v>7</v>
          </cell>
          <cell r="T283">
            <v>105</v>
          </cell>
          <cell r="U283">
            <v>10</v>
          </cell>
        </row>
        <row r="284">
          <cell r="A284" t="str">
            <v>C052B (240 V)</v>
          </cell>
          <cell r="B284">
            <v>42.4</v>
          </cell>
          <cell r="C284">
            <v>36.5</v>
          </cell>
          <cell r="D284">
            <v>16.5</v>
          </cell>
          <cell r="E284">
            <v>13.5</v>
          </cell>
          <cell r="J284">
            <v>13.819742018555456</v>
          </cell>
          <cell r="K284">
            <v>2500</v>
          </cell>
          <cell r="P284">
            <v>2500</v>
          </cell>
          <cell r="Q284">
            <v>3.59</v>
          </cell>
          <cell r="R284">
            <v>0.61</v>
          </cell>
          <cell r="S284">
            <v>3.7</v>
          </cell>
          <cell r="T284">
            <v>75.400000000000006</v>
          </cell>
          <cell r="U284">
            <v>10</v>
          </cell>
        </row>
        <row r="285">
          <cell r="A285" t="str">
            <v>C052C (240 V)</v>
          </cell>
          <cell r="B285">
            <v>43.1</v>
          </cell>
          <cell r="C285">
            <v>15.5</v>
          </cell>
          <cell r="D285">
            <v>16.899999999999999</v>
          </cell>
          <cell r="E285">
            <v>5.74</v>
          </cell>
          <cell r="J285">
            <v>5.6263423125459218</v>
          </cell>
          <cell r="K285">
            <v>1850</v>
          </cell>
          <cell r="P285">
            <v>950</v>
          </cell>
          <cell r="Q285">
            <v>3.59</v>
          </cell>
          <cell r="R285">
            <v>3.36</v>
          </cell>
          <cell r="S285">
            <v>90</v>
          </cell>
          <cell r="T285">
            <v>181</v>
          </cell>
          <cell r="U285">
            <v>10</v>
          </cell>
        </row>
        <row r="286">
          <cell r="A286" t="str">
            <v>C052D (240 V)</v>
          </cell>
          <cell r="B286">
            <v>42.3</v>
          </cell>
          <cell r="C286">
            <v>29.6</v>
          </cell>
          <cell r="D286">
            <v>16.5</v>
          </cell>
          <cell r="E286">
            <v>10.9</v>
          </cell>
          <cell r="J286">
            <v>14.207490041861877</v>
          </cell>
          <cell r="K286">
            <v>2050</v>
          </cell>
          <cell r="P286">
            <v>2050</v>
          </cell>
          <cell r="Q286">
            <v>3.59</v>
          </cell>
          <cell r="R286">
            <v>0.94</v>
          </cell>
          <cell r="S286">
            <v>5.59</v>
          </cell>
          <cell r="T286">
            <v>92.7</v>
          </cell>
          <cell r="U286">
            <v>10</v>
          </cell>
        </row>
        <row r="287">
          <cell r="A287" t="str">
            <v>C053A (240 V)</v>
          </cell>
          <cell r="B287">
            <v>53.7</v>
          </cell>
          <cell r="C287">
            <v>24.9</v>
          </cell>
          <cell r="D287">
            <v>20.9</v>
          </cell>
          <cell r="E287">
            <v>9.2100000000000009</v>
          </cell>
          <cell r="J287">
            <v>18.971269216553925</v>
          </cell>
          <cell r="K287">
            <v>1350</v>
          </cell>
          <cell r="P287">
            <v>1350</v>
          </cell>
          <cell r="Q287">
            <v>4.43</v>
          </cell>
          <cell r="R287">
            <v>1.41</v>
          </cell>
          <cell r="S287">
            <v>9.1</v>
          </cell>
          <cell r="T287">
            <v>139</v>
          </cell>
          <cell r="U287">
            <v>10</v>
          </cell>
        </row>
        <row r="288">
          <cell r="A288" t="str">
            <v>C053B (240 V)</v>
          </cell>
          <cell r="B288">
            <v>51.4</v>
          </cell>
          <cell r="C288">
            <v>49.2</v>
          </cell>
          <cell r="D288">
            <v>20</v>
          </cell>
          <cell r="E288">
            <v>18.2</v>
          </cell>
          <cell r="J288">
            <v>16.123032354981365</v>
          </cell>
          <cell r="K288">
            <v>2500</v>
          </cell>
          <cell r="P288">
            <v>2500</v>
          </cell>
          <cell r="Q288">
            <v>4.43</v>
          </cell>
          <cell r="R288">
            <v>0.36</v>
          </cell>
          <cell r="S288">
            <v>2.2000000000000002</v>
          </cell>
          <cell r="T288">
            <v>67.400000000000006</v>
          </cell>
          <cell r="U288">
            <v>10</v>
          </cell>
        </row>
        <row r="289">
          <cell r="A289" t="str">
            <v>C054A (240 V)</v>
          </cell>
          <cell r="B289">
            <v>63.5</v>
          </cell>
          <cell r="C289">
            <v>26.4</v>
          </cell>
          <cell r="D289">
            <v>24.8</v>
          </cell>
          <cell r="E289">
            <v>9.7899999999999991</v>
          </cell>
          <cell r="J289">
            <v>22.631832907667519</v>
          </cell>
          <cell r="K289">
            <v>1200</v>
          </cell>
          <cell r="P289">
            <v>1200</v>
          </cell>
          <cell r="Q289">
            <v>5.28</v>
          </cell>
          <cell r="R289">
            <v>1.35</v>
          </cell>
          <cell r="S289">
            <v>9</v>
          </cell>
          <cell r="T289">
            <v>156</v>
          </cell>
          <cell r="U289">
            <v>10</v>
          </cell>
        </row>
        <row r="290">
          <cell r="A290" t="str">
            <v>C054B (240 V)</v>
          </cell>
          <cell r="B290">
            <v>60.9</v>
          </cell>
          <cell r="C290">
            <v>46.8</v>
          </cell>
          <cell r="D290">
            <v>24</v>
          </cell>
          <cell r="E290">
            <v>17.399999999999999</v>
          </cell>
          <cell r="J290">
            <v>18.692240124835369</v>
          </cell>
          <cell r="K290">
            <v>2350</v>
          </cell>
          <cell r="P290">
            <v>2300</v>
          </cell>
          <cell r="Q290">
            <v>5.28</v>
          </cell>
          <cell r="R290">
            <v>0.43</v>
          </cell>
          <cell r="S290">
            <v>2.7</v>
          </cell>
          <cell r="T290">
            <v>84.3</v>
          </cell>
          <cell r="U290">
            <v>10</v>
          </cell>
        </row>
        <row r="291">
          <cell r="A291" t="str">
            <v>C061A (240 V)</v>
          </cell>
          <cell r="B291">
            <v>85.7</v>
          </cell>
          <cell r="C291">
            <v>26.7</v>
          </cell>
          <cell r="D291">
            <v>33.4</v>
          </cell>
          <cell r="E291">
            <v>9.89</v>
          </cell>
          <cell r="J291">
            <v>31.300472141406086</v>
          </cell>
          <cell r="K291">
            <v>900</v>
          </cell>
          <cell r="P291">
            <v>900</v>
          </cell>
          <cell r="Q291">
            <v>9.41</v>
          </cell>
          <cell r="R291">
            <v>1.36</v>
          </cell>
          <cell r="S291">
            <v>18.100000000000001</v>
          </cell>
          <cell r="T291">
            <v>206</v>
          </cell>
          <cell r="U291">
            <v>10</v>
          </cell>
        </row>
        <row r="292">
          <cell r="A292" t="str">
            <v>C061B (240 V)</v>
          </cell>
          <cell r="B292">
            <v>83</v>
          </cell>
          <cell r="C292">
            <v>52.7</v>
          </cell>
          <cell r="D292">
            <v>32.299999999999997</v>
          </cell>
          <cell r="E292">
            <v>19.5</v>
          </cell>
          <cell r="J292">
            <v>26.963295897353099</v>
          </cell>
          <cell r="K292">
            <v>1950</v>
          </cell>
          <cell r="P292">
            <v>1950</v>
          </cell>
          <cell r="Q292">
            <v>9.41</v>
          </cell>
          <cell r="R292">
            <v>0.35</v>
          </cell>
          <cell r="S292">
            <v>4.3</v>
          </cell>
          <cell r="T292">
            <v>101</v>
          </cell>
          <cell r="U292">
            <v>10</v>
          </cell>
        </row>
        <row r="293">
          <cell r="A293" t="str">
            <v>C062A (240 V)</v>
          </cell>
          <cell r="B293">
            <v>121.5</v>
          </cell>
          <cell r="C293">
            <v>39.299999999999997</v>
          </cell>
          <cell r="D293">
            <v>47.3</v>
          </cell>
          <cell r="E293">
            <v>14.6</v>
          </cell>
          <cell r="J293">
            <v>43.635259450226378</v>
          </cell>
          <cell r="K293">
            <v>950</v>
          </cell>
          <cell r="P293">
            <v>950</v>
          </cell>
          <cell r="Q293">
            <v>12.6</v>
          </cell>
          <cell r="R293">
            <v>0.76</v>
          </cell>
          <cell r="S293">
            <v>11.1</v>
          </cell>
          <cell r="T293">
            <v>198</v>
          </cell>
          <cell r="U293">
            <v>10</v>
          </cell>
        </row>
        <row r="294">
          <cell r="A294" t="str">
            <v>C062B (240 V)</v>
          </cell>
          <cell r="B294">
            <v>117.8</v>
          </cell>
          <cell r="C294">
            <v>55.5</v>
          </cell>
          <cell r="D294">
            <v>46</v>
          </cell>
          <cell r="E294">
            <v>20.6</v>
          </cell>
          <cell r="J294">
            <v>39.843616787833106</v>
          </cell>
          <cell r="K294">
            <v>1450</v>
          </cell>
          <cell r="P294">
            <v>1450</v>
          </cell>
          <cell r="Q294">
            <v>12.6</v>
          </cell>
          <cell r="R294">
            <v>0.38</v>
          </cell>
          <cell r="S294">
            <v>5.2</v>
          </cell>
          <cell r="T294">
            <v>136</v>
          </cell>
          <cell r="U294">
            <v>10</v>
          </cell>
        </row>
        <row r="295">
          <cell r="A295" t="str">
            <v>C062C (240 V)</v>
          </cell>
          <cell r="B295">
            <v>124.2</v>
          </cell>
          <cell r="C295">
            <v>31.8</v>
          </cell>
          <cell r="D295">
            <v>48.4</v>
          </cell>
          <cell r="E295">
            <v>11.8</v>
          </cell>
          <cell r="J295">
            <v>44.745275429264296</v>
          </cell>
          <cell r="K295">
            <v>700</v>
          </cell>
          <cell r="P295">
            <v>700</v>
          </cell>
          <cell r="Q295">
            <v>12.6</v>
          </cell>
          <cell r="R295">
            <v>1.19</v>
          </cell>
          <cell r="S295">
            <v>17.8</v>
          </cell>
          <cell r="T295">
            <v>250.4</v>
          </cell>
          <cell r="U295">
            <v>10</v>
          </cell>
        </row>
        <row r="296">
          <cell r="A296" t="str">
            <v>C063A (240 V)</v>
          </cell>
          <cell r="B296">
            <v>154.4</v>
          </cell>
          <cell r="C296">
            <v>37.5</v>
          </cell>
          <cell r="D296">
            <v>60.2</v>
          </cell>
          <cell r="E296">
            <v>13.9</v>
          </cell>
          <cell r="J296">
            <v>56.231715036410804</v>
          </cell>
          <cell r="K296">
            <v>700</v>
          </cell>
          <cell r="P296">
            <v>700</v>
          </cell>
          <cell r="Q296">
            <v>15.7</v>
          </cell>
          <cell r="R296">
            <v>0.93</v>
          </cell>
          <cell r="S296">
            <v>14.4</v>
          </cell>
          <cell r="T296">
            <v>264</v>
          </cell>
          <cell r="U296">
            <v>10</v>
          </cell>
        </row>
        <row r="297">
          <cell r="A297" t="str">
            <v>C063B (240 V)</v>
          </cell>
          <cell r="B297">
            <v>149</v>
          </cell>
          <cell r="C297">
            <v>52.8</v>
          </cell>
          <cell r="D297">
            <v>59</v>
          </cell>
          <cell r="E297">
            <v>19.8</v>
          </cell>
          <cell r="J297">
            <v>52.313537816292559</v>
          </cell>
          <cell r="K297">
            <v>1150</v>
          </cell>
          <cell r="P297">
            <v>1150</v>
          </cell>
          <cell r="Q297">
            <v>15.7</v>
          </cell>
          <cell r="R297">
            <v>0.47</v>
          </cell>
          <cell r="S297">
            <v>7.1</v>
          </cell>
          <cell r="T297">
            <v>181</v>
          </cell>
          <cell r="U297">
            <v>10</v>
          </cell>
        </row>
        <row r="298">
          <cell r="A298" t="str">
            <v>C063C (240 V)</v>
          </cell>
          <cell r="B298">
            <v>158.9</v>
          </cell>
          <cell r="C298">
            <v>30.5</v>
          </cell>
          <cell r="D298">
            <v>61.8</v>
          </cell>
          <cell r="E298">
            <v>11.3</v>
          </cell>
          <cell r="J298">
            <v>58.163897384492664</v>
          </cell>
          <cell r="K298">
            <v>550</v>
          </cell>
          <cell r="P298">
            <v>550</v>
          </cell>
          <cell r="Q298">
            <v>15.7</v>
          </cell>
          <cell r="R298">
            <v>1.45</v>
          </cell>
          <cell r="S298">
            <v>23.1</v>
          </cell>
          <cell r="T298">
            <v>333.8</v>
          </cell>
          <cell r="U298">
            <v>10</v>
          </cell>
        </row>
        <row r="299">
          <cell r="A299" t="str">
            <v>C091A (230 V)</v>
          </cell>
          <cell r="B299">
            <v>120</v>
          </cell>
          <cell r="C299">
            <v>40</v>
          </cell>
          <cell r="D299">
            <v>50</v>
          </cell>
          <cell r="E299">
            <v>12.8</v>
          </cell>
          <cell r="J299">
            <v>42.016904976260371</v>
          </cell>
          <cell r="K299">
            <v>600</v>
          </cell>
          <cell r="P299">
            <v>600</v>
          </cell>
          <cell r="Q299">
            <v>28</v>
          </cell>
          <cell r="R299">
            <v>0.91600000000000004</v>
          </cell>
          <cell r="S299">
            <v>7.8</v>
          </cell>
          <cell r="T299">
            <v>244</v>
          </cell>
          <cell r="U299">
            <v>38</v>
          </cell>
        </row>
        <row r="300">
          <cell r="A300" t="str">
            <v>C092A (230 V)</v>
          </cell>
          <cell r="B300">
            <v>227</v>
          </cell>
          <cell r="C300">
            <v>40</v>
          </cell>
          <cell r="D300">
            <v>101</v>
          </cell>
          <cell r="E300">
            <v>15.3</v>
          </cell>
          <cell r="J300">
            <v>89.524655489191119</v>
          </cell>
          <cell r="K300">
            <v>400</v>
          </cell>
          <cell r="P300">
            <v>400</v>
          </cell>
          <cell r="Q300">
            <v>47</v>
          </cell>
          <cell r="R300">
            <v>0.92100000000000004</v>
          </cell>
          <cell r="S300">
            <v>11</v>
          </cell>
          <cell r="T300">
            <v>441</v>
          </cell>
          <cell r="U300">
            <v>38</v>
          </cell>
        </row>
        <row r="301">
          <cell r="A301" t="str">
            <v>C092C (230 V)</v>
          </cell>
          <cell r="B301">
            <v>231.2</v>
          </cell>
          <cell r="C301">
            <v>48</v>
          </cell>
          <cell r="D301">
            <v>101.6</v>
          </cell>
          <cell r="E301">
            <v>18.100000000000001</v>
          </cell>
          <cell r="J301">
            <v>87.004702223569467</v>
          </cell>
          <cell r="K301">
            <v>450</v>
          </cell>
          <cell r="P301">
            <v>450</v>
          </cell>
          <cell r="Q301">
            <v>47</v>
          </cell>
          <cell r="R301">
            <v>0.64</v>
          </cell>
          <cell r="S301">
            <v>7.35</v>
          </cell>
          <cell r="T301">
            <v>343</v>
          </cell>
          <cell r="U301">
            <v>38</v>
          </cell>
        </row>
        <row r="302">
          <cell r="A302" t="str">
            <v>C093A (230 V)</v>
          </cell>
          <cell r="B302">
            <v>309</v>
          </cell>
          <cell r="C302">
            <v>40</v>
          </cell>
          <cell r="D302">
            <v>145</v>
          </cell>
          <cell r="E302">
            <v>15.5</v>
          </cell>
          <cell r="J302">
            <v>132.09860276627313</v>
          </cell>
          <cell r="K302">
            <v>300</v>
          </cell>
          <cell r="P302">
            <v>300</v>
          </cell>
          <cell r="Q302">
            <v>66</v>
          </cell>
          <cell r="R302">
            <v>0.86699999999999999</v>
          </cell>
          <cell r="S302">
            <v>11</v>
          </cell>
          <cell r="T302">
            <v>517</v>
          </cell>
          <cell r="U302">
            <v>38</v>
          </cell>
        </row>
        <row r="303">
          <cell r="A303" t="str">
            <v>C093C (230 V)</v>
          </cell>
          <cell r="B303">
            <v>316.60000000000002</v>
          </cell>
          <cell r="C303">
            <v>48</v>
          </cell>
          <cell r="D303">
            <v>139.4</v>
          </cell>
          <cell r="E303">
            <v>20</v>
          </cell>
          <cell r="J303">
            <v>128.50624833648465</v>
          </cell>
          <cell r="K303">
            <v>350</v>
          </cell>
          <cell r="P303">
            <v>350</v>
          </cell>
          <cell r="Q303">
            <v>66</v>
          </cell>
          <cell r="R303">
            <v>0.59</v>
          </cell>
          <cell r="S303">
            <v>7.54</v>
          </cell>
          <cell r="T303">
            <v>426</v>
          </cell>
          <cell r="U303">
            <v>38</v>
          </cell>
        </row>
        <row r="304">
          <cell r="A304" t="str">
            <v>C131A (230 V)</v>
          </cell>
          <cell r="B304">
            <v>389</v>
          </cell>
          <cell r="C304">
            <v>40</v>
          </cell>
          <cell r="D304">
            <v>188</v>
          </cell>
          <cell r="E304">
            <v>13.8</v>
          </cell>
          <cell r="J304">
            <v>168.91644626819826</v>
          </cell>
          <cell r="K304">
            <v>225</v>
          </cell>
          <cell r="P304">
            <v>225</v>
          </cell>
          <cell r="Q304">
            <v>123</v>
          </cell>
          <cell r="R304">
            <v>0.93</v>
          </cell>
          <cell r="S304">
            <v>13</v>
          </cell>
          <cell r="T304">
            <v>738</v>
          </cell>
          <cell r="U304">
            <v>46</v>
          </cell>
        </row>
        <row r="305">
          <cell r="A305" t="str">
            <v>C131B (230 V)</v>
          </cell>
          <cell r="B305">
            <v>396</v>
          </cell>
          <cell r="C305">
            <v>75.400000000000006</v>
          </cell>
          <cell r="D305">
            <v>190</v>
          </cell>
          <cell r="E305">
            <v>25.9</v>
          </cell>
          <cell r="J305">
            <v>133.26573901561372</v>
          </cell>
          <cell r="K305">
            <v>450</v>
          </cell>
          <cell r="P305">
            <v>450</v>
          </cell>
          <cell r="Q305">
            <v>123</v>
          </cell>
          <cell r="R305">
            <v>0.26100000000000001</v>
          </cell>
          <cell r="S305">
            <v>3.6</v>
          </cell>
          <cell r="T305">
            <v>398</v>
          </cell>
          <cell r="U305">
            <v>46</v>
          </cell>
        </row>
        <row r="306">
          <cell r="A306" t="str">
            <v>C131C (230 V)</v>
          </cell>
          <cell r="B306">
            <v>394.5</v>
          </cell>
          <cell r="C306">
            <v>48</v>
          </cell>
          <cell r="D306">
            <v>188.8</v>
          </cell>
          <cell r="E306">
            <v>18.8</v>
          </cell>
          <cell r="J306">
            <v>166.15776058793875</v>
          </cell>
          <cell r="K306">
            <v>250</v>
          </cell>
          <cell r="P306">
            <v>250</v>
          </cell>
          <cell r="Q306">
            <v>123</v>
          </cell>
          <cell r="R306">
            <v>0.65</v>
          </cell>
          <cell r="S306">
            <v>8.67</v>
          </cell>
          <cell r="T306">
            <v>617</v>
          </cell>
          <cell r="U306">
            <v>46</v>
          </cell>
        </row>
        <row r="307">
          <cell r="A307" t="str">
            <v>C132A (230 V)</v>
          </cell>
          <cell r="B307">
            <v>836</v>
          </cell>
          <cell r="C307">
            <v>40</v>
          </cell>
          <cell r="D307">
            <v>361</v>
          </cell>
          <cell r="E307">
            <v>12.4</v>
          </cell>
          <cell r="J307">
            <v>340.30220559285254</v>
          </cell>
          <cell r="K307">
            <v>110</v>
          </cell>
          <cell r="P307">
            <v>110</v>
          </cell>
          <cell r="Q307">
            <v>225</v>
          </cell>
          <cell r="R307">
            <v>1.66</v>
          </cell>
          <cell r="S307">
            <v>29</v>
          </cell>
          <cell r="T307">
            <v>1584</v>
          </cell>
          <cell r="U307">
            <v>46</v>
          </cell>
        </row>
        <row r="308">
          <cell r="A308" t="str">
            <v>C132B (230 V)</v>
          </cell>
          <cell r="B308">
            <v>742</v>
          </cell>
          <cell r="C308">
            <v>75.400000000000006</v>
          </cell>
          <cell r="D308">
            <v>361</v>
          </cell>
          <cell r="E308">
            <v>26.3</v>
          </cell>
          <cell r="J308">
            <v>307.27514346275262</v>
          </cell>
          <cell r="K308">
            <v>225</v>
          </cell>
          <cell r="P308">
            <v>225</v>
          </cell>
          <cell r="Q308">
            <v>225</v>
          </cell>
          <cell r="R308">
            <v>0.36899999999999999</v>
          </cell>
          <cell r="S308">
            <v>6.5</v>
          </cell>
          <cell r="T308">
            <v>746</v>
          </cell>
          <cell r="U308">
            <v>46</v>
          </cell>
        </row>
        <row r="309">
          <cell r="A309" t="str">
            <v>C132C (230 V)</v>
          </cell>
          <cell r="B309">
            <v>818.3</v>
          </cell>
          <cell r="C309">
            <v>48</v>
          </cell>
          <cell r="D309">
            <v>361.7</v>
          </cell>
          <cell r="E309">
            <v>16.899999999999999</v>
          </cell>
          <cell r="J309">
            <v>337.40847935481816</v>
          </cell>
          <cell r="K309">
            <v>120</v>
          </cell>
          <cell r="P309">
            <v>120</v>
          </cell>
          <cell r="Q309">
            <v>225</v>
          </cell>
          <cell r="R309">
            <v>1.1399999999999999</v>
          </cell>
          <cell r="S309">
            <v>19.899999999999999</v>
          </cell>
          <cell r="T309">
            <v>1313</v>
          </cell>
          <cell r="U309">
            <v>46</v>
          </cell>
        </row>
        <row r="310">
          <cell r="A310" t="str">
            <v>C133A (230 V)</v>
          </cell>
          <cell r="B310">
            <v>1016</v>
          </cell>
          <cell r="C310">
            <v>40</v>
          </cell>
          <cell r="D310">
            <v>504</v>
          </cell>
          <cell r="E310">
            <v>16.8</v>
          </cell>
          <cell r="J310">
            <v>475.34276336779408</v>
          </cell>
          <cell r="K310">
            <v>90</v>
          </cell>
          <cell r="P310">
            <v>90</v>
          </cell>
          <cell r="Q310">
            <v>302</v>
          </cell>
          <cell r="R310">
            <v>1.41</v>
          </cell>
          <cell r="S310">
            <v>26</v>
          </cell>
          <cell r="T310">
            <v>1837</v>
          </cell>
          <cell r="U310">
            <v>46</v>
          </cell>
        </row>
        <row r="311">
          <cell r="A311" t="str">
            <v>C133B (230 V)</v>
          </cell>
          <cell r="B311">
            <v>1017</v>
          </cell>
          <cell r="C311">
            <v>77.099999999999994</v>
          </cell>
          <cell r="D311">
            <v>510</v>
          </cell>
          <cell r="E311">
            <v>32.700000000000003</v>
          </cell>
          <cell r="J311">
            <v>443.08736156783669</v>
          </cell>
          <cell r="K311">
            <v>175</v>
          </cell>
          <cell r="P311">
            <v>175</v>
          </cell>
          <cell r="Q311">
            <v>302</v>
          </cell>
          <cell r="R311">
            <v>0.37</v>
          </cell>
          <cell r="S311">
            <v>7</v>
          </cell>
          <cell r="T311">
            <v>954</v>
          </cell>
          <cell r="U311">
            <v>46</v>
          </cell>
        </row>
        <row r="312">
          <cell r="A312" t="str">
            <v>C133C (230 V)</v>
          </cell>
          <cell r="B312">
            <v>1072.5999999999999</v>
          </cell>
          <cell r="C312">
            <v>48</v>
          </cell>
          <cell r="D312">
            <v>498.7</v>
          </cell>
          <cell r="E312">
            <v>20</v>
          </cell>
          <cell r="J312">
            <v>481.2845479098915</v>
          </cell>
          <cell r="K312">
            <v>100</v>
          </cell>
          <cell r="P312">
            <v>100</v>
          </cell>
          <cell r="Q312">
            <v>302</v>
          </cell>
          <cell r="R312">
            <v>0.94</v>
          </cell>
          <cell r="S312">
            <v>18.100000000000001</v>
          </cell>
          <cell r="T312">
            <v>1536</v>
          </cell>
          <cell r="U312">
            <v>46</v>
          </cell>
        </row>
        <row r="313">
          <cell r="A313" t="str">
            <v>CH041A (400 V)</v>
          </cell>
          <cell r="B313">
            <v>12.3</v>
          </cell>
          <cell r="C313">
            <v>8.19</v>
          </cell>
          <cell r="D313">
            <v>4.57</v>
          </cell>
          <cell r="E313">
            <v>2.73</v>
          </cell>
          <cell r="L313">
            <v>4.0794595013314616</v>
          </cell>
          <cell r="M313">
            <v>2500</v>
          </cell>
          <cell r="P313">
            <v>2500</v>
          </cell>
          <cell r="Q313">
            <v>0.58600000000000008</v>
          </cell>
          <cell r="R313">
            <v>8.4700000000000006</v>
          </cell>
          <cell r="S313">
            <v>34.4</v>
          </cell>
          <cell r="T313">
            <v>102</v>
          </cell>
          <cell r="U313">
            <v>10</v>
          </cell>
        </row>
        <row r="314">
          <cell r="A314" t="str">
            <v>CH041A (480 V)</v>
          </cell>
          <cell r="B314">
            <v>12.3</v>
          </cell>
          <cell r="C314">
            <v>8.19</v>
          </cell>
          <cell r="D314">
            <v>4.57</v>
          </cell>
          <cell r="E314">
            <v>2.73</v>
          </cell>
          <cell r="N314">
            <v>4.0794595013314616</v>
          </cell>
          <cell r="O314">
            <v>2500</v>
          </cell>
          <cell r="P314">
            <v>2500</v>
          </cell>
          <cell r="Q314">
            <v>0.58600000000000008</v>
          </cell>
          <cell r="R314">
            <v>8.4700000000000006</v>
          </cell>
          <cell r="S314">
            <v>34.4</v>
          </cell>
          <cell r="T314">
            <v>102</v>
          </cell>
          <cell r="U314">
            <v>10</v>
          </cell>
        </row>
        <row r="315">
          <cell r="A315" t="str">
            <v>CH042A (400 V)</v>
          </cell>
          <cell r="B315">
            <v>22.2</v>
          </cell>
          <cell r="C315">
            <v>14</v>
          </cell>
          <cell r="D315">
            <v>8.26</v>
          </cell>
          <cell r="E315">
            <v>4.68</v>
          </cell>
          <cell r="L315">
            <v>7.1008569409880025</v>
          </cell>
          <cell r="M315">
            <v>2500</v>
          </cell>
          <cell r="P315">
            <v>2500</v>
          </cell>
          <cell r="Q315">
            <v>0.88700000000000001</v>
          </cell>
          <cell r="R315">
            <v>3.7</v>
          </cell>
          <cell r="S315">
            <v>18.3</v>
          </cell>
          <cell r="T315">
            <v>108</v>
          </cell>
          <cell r="U315">
            <v>10</v>
          </cell>
        </row>
        <row r="316">
          <cell r="A316" t="str">
            <v>CH042A (480 V)</v>
          </cell>
          <cell r="B316">
            <v>22.2</v>
          </cell>
          <cell r="C316">
            <v>14</v>
          </cell>
          <cell r="D316">
            <v>8.26</v>
          </cell>
          <cell r="E316">
            <v>4.68</v>
          </cell>
          <cell r="N316">
            <v>7.1008569409880025</v>
          </cell>
          <cell r="O316">
            <v>2500</v>
          </cell>
          <cell r="P316">
            <v>2500</v>
          </cell>
          <cell r="Q316">
            <v>0.88700000000000001</v>
          </cell>
          <cell r="R316">
            <v>3.7</v>
          </cell>
          <cell r="S316">
            <v>18.3</v>
          </cell>
          <cell r="T316">
            <v>108</v>
          </cell>
          <cell r="U316">
            <v>10</v>
          </cell>
        </row>
        <row r="317">
          <cell r="A317" t="str">
            <v>CH043A (400 V)</v>
          </cell>
          <cell r="B317">
            <v>30</v>
          </cell>
          <cell r="C317">
            <v>14.2</v>
          </cell>
          <cell r="D317">
            <v>11.1</v>
          </cell>
          <cell r="E317">
            <v>4.7300000000000004</v>
          </cell>
          <cell r="L317">
            <v>9.3922637083297165</v>
          </cell>
          <cell r="M317">
            <v>2250</v>
          </cell>
          <cell r="P317">
            <v>2250</v>
          </cell>
          <cell r="Q317">
            <v>1.1900000000000002</v>
          </cell>
          <cell r="R317">
            <v>3.97</v>
          </cell>
          <cell r="S317">
            <v>20.6</v>
          </cell>
          <cell r="T317">
            <v>143</v>
          </cell>
          <cell r="U317">
            <v>10</v>
          </cell>
        </row>
        <row r="318">
          <cell r="A318" t="str">
            <v>CH043A (480 V)</v>
          </cell>
          <cell r="B318">
            <v>30</v>
          </cell>
          <cell r="C318">
            <v>14.2</v>
          </cell>
          <cell r="D318">
            <v>11.1</v>
          </cell>
          <cell r="E318">
            <v>4.7300000000000004</v>
          </cell>
          <cell r="N318">
            <v>9.1749641593615827</v>
          </cell>
          <cell r="O318">
            <v>2500</v>
          </cell>
          <cell r="P318">
            <v>2500</v>
          </cell>
          <cell r="Q318">
            <v>1.1900000000000002</v>
          </cell>
          <cell r="R318">
            <v>3.97</v>
          </cell>
          <cell r="S318">
            <v>20.6</v>
          </cell>
          <cell r="T318">
            <v>143</v>
          </cell>
          <cell r="U318">
            <v>10</v>
          </cell>
        </row>
        <row r="319">
          <cell r="A319" t="str">
            <v>CH044A (400 V)</v>
          </cell>
          <cell r="B319">
            <v>38.1</v>
          </cell>
          <cell r="C319">
            <v>15</v>
          </cell>
          <cell r="D319">
            <v>14.1</v>
          </cell>
          <cell r="E319">
            <v>5</v>
          </cell>
          <cell r="L319">
            <v>12.316011704343641</v>
          </cell>
          <cell r="M319">
            <v>1850</v>
          </cell>
          <cell r="P319">
            <v>1850</v>
          </cell>
          <cell r="Q319">
            <v>1.49</v>
          </cell>
          <cell r="R319">
            <v>4.08</v>
          </cell>
          <cell r="S319">
            <v>22.1</v>
          </cell>
          <cell r="T319">
            <v>173</v>
          </cell>
          <cell r="U319">
            <v>10</v>
          </cell>
        </row>
        <row r="320">
          <cell r="A320" t="str">
            <v>CH044A (480 V)</v>
          </cell>
          <cell r="B320">
            <v>38.1</v>
          </cell>
          <cell r="C320">
            <v>15</v>
          </cell>
          <cell r="D320">
            <v>14.2</v>
          </cell>
          <cell r="E320">
            <v>5</v>
          </cell>
          <cell r="N320">
            <v>11.756245129721334</v>
          </cell>
          <cell r="O320">
            <v>2250</v>
          </cell>
          <cell r="P320">
            <v>2250</v>
          </cell>
          <cell r="Q320">
            <v>1.49</v>
          </cell>
          <cell r="R320">
            <v>4.08</v>
          </cell>
          <cell r="S320">
            <v>22.1</v>
          </cell>
          <cell r="T320">
            <v>173</v>
          </cell>
          <cell r="U320">
            <v>10</v>
          </cell>
        </row>
        <row r="321">
          <cell r="A321" t="str">
            <v>CH051A (400 V)</v>
          </cell>
          <cell r="B321">
            <v>30</v>
          </cell>
          <cell r="C321">
            <v>12.8</v>
          </cell>
          <cell r="D321">
            <v>11.7</v>
          </cell>
          <cell r="E321">
            <v>4.75</v>
          </cell>
          <cell r="L321">
            <v>10.27231475555976</v>
          </cell>
          <cell r="M321">
            <v>2100</v>
          </cell>
          <cell r="P321">
            <v>2100</v>
          </cell>
          <cell r="Q321">
            <v>2.7399999999999998</v>
          </cell>
          <cell r="R321">
            <v>4.13</v>
          </cell>
          <cell r="S321">
            <v>24</v>
          </cell>
          <cell r="T321">
            <v>151</v>
          </cell>
          <cell r="U321">
            <v>10</v>
          </cell>
        </row>
        <row r="322">
          <cell r="A322" t="str">
            <v>CH051A (480 V)</v>
          </cell>
          <cell r="B322">
            <v>30</v>
          </cell>
          <cell r="C322">
            <v>12.8</v>
          </cell>
          <cell r="D322">
            <v>11.7</v>
          </cell>
          <cell r="E322">
            <v>4.75</v>
          </cell>
          <cell r="N322">
            <v>10.030581133423611</v>
          </cell>
          <cell r="O322">
            <v>2500</v>
          </cell>
          <cell r="P322">
            <v>2500</v>
          </cell>
          <cell r="Q322">
            <v>2.7399999999999998</v>
          </cell>
          <cell r="R322">
            <v>4.13</v>
          </cell>
          <cell r="S322">
            <v>24</v>
          </cell>
          <cell r="T322">
            <v>151</v>
          </cell>
          <cell r="U322">
            <v>10</v>
          </cell>
        </row>
        <row r="323">
          <cell r="A323" t="str">
            <v>CH052A (400 V)</v>
          </cell>
          <cell r="B323">
            <v>26.6</v>
          </cell>
          <cell r="C323">
            <v>43.1</v>
          </cell>
          <cell r="D323">
            <v>16.8</v>
          </cell>
          <cell r="E323">
            <v>9.84</v>
          </cell>
          <cell r="L323">
            <v>14.090942041584047</v>
          </cell>
          <cell r="M323">
            <v>2500</v>
          </cell>
          <cell r="P323">
            <v>2500</v>
          </cell>
          <cell r="Q323">
            <v>3.59</v>
          </cell>
          <cell r="R323">
            <v>1.1399999999999999</v>
          </cell>
          <cell r="S323">
            <v>7</v>
          </cell>
          <cell r="T323">
            <v>105</v>
          </cell>
          <cell r="U323">
            <v>10</v>
          </cell>
        </row>
        <row r="324">
          <cell r="A324" t="str">
            <v>CH052A (480 V)</v>
          </cell>
          <cell r="B324">
            <v>26.6</v>
          </cell>
          <cell r="C324">
            <v>43.1</v>
          </cell>
          <cell r="D324">
            <v>16.8</v>
          </cell>
          <cell r="E324">
            <v>9.84</v>
          </cell>
          <cell r="N324">
            <v>14.090942041584047</v>
          </cell>
          <cell r="O324">
            <v>2500</v>
          </cell>
          <cell r="P324">
            <v>2500</v>
          </cell>
          <cell r="Q324">
            <v>3.59</v>
          </cell>
          <cell r="R324">
            <v>1.1399999999999999</v>
          </cell>
          <cell r="S324">
            <v>7</v>
          </cell>
          <cell r="T324">
            <v>105</v>
          </cell>
          <cell r="U324">
            <v>10</v>
          </cell>
        </row>
        <row r="325">
          <cell r="A325" t="str">
            <v>CH052C (400 V)</v>
          </cell>
          <cell r="B325">
            <v>43.1</v>
          </cell>
          <cell r="C325">
            <v>15.5</v>
          </cell>
          <cell r="D325">
            <v>16.899999999999999</v>
          </cell>
          <cell r="E325">
            <v>5.74</v>
          </cell>
          <cell r="L325">
            <v>10.504226244065093</v>
          </cell>
          <cell r="M325">
            <v>2500</v>
          </cell>
          <cell r="P325">
            <v>1750</v>
          </cell>
          <cell r="Q325">
            <v>3.59</v>
          </cell>
          <cell r="R325">
            <v>3.36</v>
          </cell>
          <cell r="S325">
            <v>90</v>
          </cell>
          <cell r="T325">
            <v>181</v>
          </cell>
          <cell r="U325">
            <v>10</v>
          </cell>
        </row>
        <row r="326">
          <cell r="A326" t="str">
            <v>CH052C (480 V)</v>
          </cell>
          <cell r="B326">
            <v>43.1</v>
          </cell>
          <cell r="C326">
            <v>15.5</v>
          </cell>
          <cell r="D326">
            <v>16.899999999999999</v>
          </cell>
          <cell r="E326">
            <v>5.74</v>
          </cell>
          <cell r="N326">
            <v>12.108508070431398</v>
          </cell>
          <cell r="O326">
            <v>2500</v>
          </cell>
          <cell r="P326">
            <v>2100</v>
          </cell>
          <cell r="Q326">
            <v>3.59</v>
          </cell>
          <cell r="R326">
            <v>3.36</v>
          </cell>
          <cell r="S326">
            <v>90</v>
          </cell>
          <cell r="T326">
            <v>181</v>
          </cell>
          <cell r="U326">
            <v>10</v>
          </cell>
        </row>
        <row r="327">
          <cell r="A327" t="str">
            <v>CH053A (400 V)</v>
          </cell>
          <cell r="B327">
            <v>53.7</v>
          </cell>
          <cell r="C327">
            <v>24.9</v>
          </cell>
          <cell r="D327">
            <v>20.9</v>
          </cell>
          <cell r="E327">
            <v>9.2100000000000009</v>
          </cell>
          <cell r="L327">
            <v>16.93679496528561</v>
          </cell>
          <cell r="M327">
            <v>2350</v>
          </cell>
          <cell r="P327">
            <v>2350</v>
          </cell>
          <cell r="Q327">
            <v>4.43</v>
          </cell>
          <cell r="R327">
            <v>1.41</v>
          </cell>
          <cell r="S327">
            <v>9.1</v>
          </cell>
          <cell r="T327">
            <v>139</v>
          </cell>
          <cell r="U327">
            <v>10</v>
          </cell>
        </row>
        <row r="328">
          <cell r="A328" t="str">
            <v>CH053A (480 V)</v>
          </cell>
          <cell r="B328">
            <v>53.7</v>
          </cell>
          <cell r="C328">
            <v>24.9</v>
          </cell>
          <cell r="D328">
            <v>20.9</v>
          </cell>
          <cell r="E328">
            <v>9.2100000000000009</v>
          </cell>
          <cell r="N328">
            <v>16.810581709138354</v>
          </cell>
          <cell r="O328">
            <v>2500</v>
          </cell>
          <cell r="P328">
            <v>2500</v>
          </cell>
          <cell r="Q328">
            <v>4.43</v>
          </cell>
          <cell r="R328">
            <v>1.41</v>
          </cell>
          <cell r="S328">
            <v>9.1</v>
          </cell>
          <cell r="T328">
            <v>139</v>
          </cell>
          <cell r="U328">
            <v>10</v>
          </cell>
        </row>
        <row r="329">
          <cell r="A329" t="str">
            <v>CH054A (400 V)</v>
          </cell>
          <cell r="B329">
            <v>63.5</v>
          </cell>
          <cell r="C329">
            <v>26.4</v>
          </cell>
          <cell r="D329">
            <v>24.8</v>
          </cell>
          <cell r="E329">
            <v>9.7899999999999991</v>
          </cell>
          <cell r="L329">
            <v>20.326359874879206</v>
          </cell>
          <cell r="M329">
            <v>2100</v>
          </cell>
          <cell r="P329">
            <v>2100</v>
          </cell>
          <cell r="Q329">
            <v>5.28</v>
          </cell>
          <cell r="R329">
            <v>1.35</v>
          </cell>
          <cell r="S329">
            <v>9</v>
          </cell>
          <cell r="T329">
            <v>155.5</v>
          </cell>
          <cell r="U329">
            <v>10</v>
          </cell>
        </row>
        <row r="330">
          <cell r="A330" t="str">
            <v>CH054A (480 V)</v>
          </cell>
          <cell r="B330">
            <v>63.5</v>
          </cell>
          <cell r="C330">
            <v>26.4</v>
          </cell>
          <cell r="D330">
            <v>24.8</v>
          </cell>
          <cell r="E330">
            <v>9.7899999999999991</v>
          </cell>
          <cell r="N330">
            <v>19.251381916395662</v>
          </cell>
          <cell r="O330">
            <v>2500</v>
          </cell>
          <cell r="P330">
            <v>2500</v>
          </cell>
          <cell r="Q330">
            <v>5.28</v>
          </cell>
          <cell r="R330">
            <v>1.35</v>
          </cell>
          <cell r="S330">
            <v>9</v>
          </cell>
          <cell r="T330">
            <v>156</v>
          </cell>
          <cell r="U330">
            <v>10</v>
          </cell>
        </row>
        <row r="331">
          <cell r="A331" t="str">
            <v>CH061A (400 V)</v>
          </cell>
          <cell r="B331">
            <v>85.7</v>
          </cell>
          <cell r="C331">
            <v>26.7</v>
          </cell>
          <cell r="D331">
            <v>33.4</v>
          </cell>
          <cell r="E331">
            <v>9.89</v>
          </cell>
          <cell r="L331">
            <v>29.131322896182791</v>
          </cell>
          <cell r="M331">
            <v>1600</v>
          </cell>
          <cell r="P331">
            <v>1600</v>
          </cell>
          <cell r="Q331">
            <v>9.41</v>
          </cell>
          <cell r="R331">
            <v>1.36</v>
          </cell>
          <cell r="S331">
            <v>18.100000000000001</v>
          </cell>
          <cell r="T331">
            <v>206</v>
          </cell>
          <cell r="U331">
            <v>10</v>
          </cell>
        </row>
        <row r="332">
          <cell r="A332" t="str">
            <v>CH061A (480 V)</v>
          </cell>
          <cell r="B332">
            <v>85.7</v>
          </cell>
          <cell r="C332">
            <v>26.7</v>
          </cell>
          <cell r="D332">
            <v>33.4</v>
          </cell>
          <cell r="E332">
            <v>9.89</v>
          </cell>
          <cell r="N332">
            <v>27.893997920842708</v>
          </cell>
          <cell r="O332">
            <v>1900</v>
          </cell>
          <cell r="P332">
            <v>1900</v>
          </cell>
          <cell r="Q332">
            <v>9.41</v>
          </cell>
          <cell r="R332">
            <v>1.36</v>
          </cell>
          <cell r="S332">
            <v>18.100000000000001</v>
          </cell>
          <cell r="T332">
            <v>206</v>
          </cell>
          <cell r="U332">
            <v>10</v>
          </cell>
        </row>
        <row r="333">
          <cell r="A333" t="str">
            <v>CH062A (400 V)</v>
          </cell>
          <cell r="B333">
            <v>121.5</v>
          </cell>
          <cell r="C333">
            <v>39.299999999999997</v>
          </cell>
          <cell r="D333">
            <v>47.3</v>
          </cell>
          <cell r="E333">
            <v>14.6</v>
          </cell>
          <cell r="L333">
            <v>39.701923985832799</v>
          </cell>
          <cell r="M333">
            <v>1650</v>
          </cell>
          <cell r="P333">
            <v>1650</v>
          </cell>
          <cell r="Q333">
            <v>12.6</v>
          </cell>
          <cell r="R333">
            <v>0.76</v>
          </cell>
          <cell r="S333">
            <v>11.1</v>
          </cell>
          <cell r="T333">
            <v>198</v>
          </cell>
          <cell r="U333">
            <v>10</v>
          </cell>
        </row>
        <row r="334">
          <cell r="A334" t="str">
            <v>CH062A (480 V)</v>
          </cell>
          <cell r="B334">
            <v>121.5</v>
          </cell>
          <cell r="C334">
            <v>39.299999999999997</v>
          </cell>
          <cell r="D334">
            <v>47.3</v>
          </cell>
          <cell r="E334">
            <v>14.6</v>
          </cell>
          <cell r="N334">
            <v>37.543059525947193</v>
          </cell>
          <cell r="O334">
            <v>2000</v>
          </cell>
          <cell r="P334">
            <v>2000</v>
          </cell>
          <cell r="Q334">
            <v>12.6</v>
          </cell>
          <cell r="R334">
            <v>0.76</v>
          </cell>
          <cell r="S334">
            <v>11.1</v>
          </cell>
          <cell r="T334">
            <v>198</v>
          </cell>
          <cell r="U334">
            <v>10</v>
          </cell>
        </row>
        <row r="335">
          <cell r="A335" t="str">
            <v>CH062C (400 V)</v>
          </cell>
          <cell r="B335">
            <v>124.2</v>
          </cell>
          <cell r="C335">
            <v>31.8</v>
          </cell>
          <cell r="D335">
            <v>48.4</v>
          </cell>
          <cell r="E335">
            <v>11.8</v>
          </cell>
          <cell r="L335">
            <v>40.489017522578173</v>
          </cell>
          <cell r="M335">
            <v>1250</v>
          </cell>
          <cell r="P335">
            <v>1250</v>
          </cell>
          <cell r="Q335">
            <v>12.6</v>
          </cell>
          <cell r="R335">
            <v>1.19</v>
          </cell>
          <cell r="S335">
            <v>17.8</v>
          </cell>
          <cell r="T335">
            <v>250.4</v>
          </cell>
          <cell r="U335">
            <v>10</v>
          </cell>
        </row>
        <row r="336">
          <cell r="A336" t="str">
            <v>CH062C (480 V)</v>
          </cell>
          <cell r="B336">
            <v>124.2</v>
          </cell>
          <cell r="C336">
            <v>31.8</v>
          </cell>
          <cell r="D336">
            <v>48.4</v>
          </cell>
          <cell r="E336">
            <v>11.8</v>
          </cell>
          <cell r="N336">
            <v>37.889144516715724</v>
          </cell>
          <cell r="O336">
            <v>1550</v>
          </cell>
          <cell r="P336">
            <v>1550</v>
          </cell>
          <cell r="Q336">
            <v>12.6</v>
          </cell>
          <cell r="R336">
            <v>1.19</v>
          </cell>
          <cell r="S336">
            <v>17.8</v>
          </cell>
          <cell r="T336">
            <v>250.4</v>
          </cell>
          <cell r="U336">
            <v>10</v>
          </cell>
        </row>
        <row r="337">
          <cell r="A337" t="str">
            <v>CH063A (400 V)</v>
          </cell>
          <cell r="B337">
            <v>154.4</v>
          </cell>
          <cell r="C337">
            <v>37.5</v>
          </cell>
          <cell r="D337">
            <v>60.2</v>
          </cell>
          <cell r="E337">
            <v>13.9</v>
          </cell>
          <cell r="L337">
            <v>52.437097410372942</v>
          </cell>
          <cell r="M337">
            <v>1250</v>
          </cell>
          <cell r="P337">
            <v>1250</v>
          </cell>
          <cell r="Q337">
            <v>15.7</v>
          </cell>
          <cell r="R337">
            <v>0.93</v>
          </cell>
          <cell r="S337">
            <v>14.4</v>
          </cell>
          <cell r="T337">
            <v>264</v>
          </cell>
          <cell r="U337">
            <v>10</v>
          </cell>
        </row>
        <row r="338">
          <cell r="A338" t="str">
            <v>CH063A (480 V)</v>
          </cell>
          <cell r="B338">
            <v>154.4</v>
          </cell>
          <cell r="C338">
            <v>37.5</v>
          </cell>
          <cell r="D338">
            <v>60.2</v>
          </cell>
          <cell r="E338">
            <v>13.9</v>
          </cell>
          <cell r="N338">
            <v>50.674933880459477</v>
          </cell>
          <cell r="O338">
            <v>1500</v>
          </cell>
          <cell r="P338">
            <v>1500</v>
          </cell>
          <cell r="Q338">
            <v>15.7</v>
          </cell>
          <cell r="R338">
            <v>0.93</v>
          </cell>
          <cell r="S338">
            <v>14.4</v>
          </cell>
          <cell r="T338">
            <v>264</v>
          </cell>
          <cell r="U338">
            <v>10</v>
          </cell>
        </row>
        <row r="339">
          <cell r="A339" t="str">
            <v>CH063B (400 V)</v>
          </cell>
          <cell r="B339">
            <v>149</v>
          </cell>
          <cell r="C339">
            <v>52.8</v>
          </cell>
          <cell r="D339">
            <v>58</v>
          </cell>
          <cell r="E339">
            <v>19.5</v>
          </cell>
          <cell r="L339">
            <v>45.800491136899048</v>
          </cell>
          <cell r="M339">
            <v>1850</v>
          </cell>
          <cell r="P339">
            <v>1850</v>
          </cell>
          <cell r="Q339">
            <v>15.7</v>
          </cell>
          <cell r="R339">
            <v>0.47</v>
          </cell>
          <cell r="S339">
            <v>7.1</v>
          </cell>
          <cell r="T339">
            <v>181</v>
          </cell>
          <cell r="U339">
            <v>10</v>
          </cell>
        </row>
        <row r="340">
          <cell r="A340" t="str">
            <v>CH063B (480 V)</v>
          </cell>
          <cell r="B340">
            <v>149</v>
          </cell>
          <cell r="C340">
            <v>52.8</v>
          </cell>
          <cell r="D340">
            <v>58</v>
          </cell>
          <cell r="E340">
            <v>19.5</v>
          </cell>
          <cell r="N340">
            <v>41.73910725740906</v>
          </cell>
          <cell r="O340">
            <v>2200</v>
          </cell>
          <cell r="P340">
            <v>2200</v>
          </cell>
          <cell r="Q340">
            <v>15.7</v>
          </cell>
          <cell r="R340">
            <v>0.47</v>
          </cell>
          <cell r="S340">
            <v>7.1</v>
          </cell>
          <cell r="T340">
            <v>181</v>
          </cell>
          <cell r="U340">
            <v>10</v>
          </cell>
        </row>
        <row r="341">
          <cell r="A341" t="str">
            <v>CH063C (400 V)</v>
          </cell>
          <cell r="B341">
            <v>158.9</v>
          </cell>
          <cell r="C341">
            <v>30.5</v>
          </cell>
          <cell r="D341">
            <v>61.8</v>
          </cell>
          <cell r="E341">
            <v>11.3</v>
          </cell>
          <cell r="L341">
            <v>54.07917434743559</v>
          </cell>
          <cell r="M341">
            <v>950</v>
          </cell>
          <cell r="P341">
            <v>950</v>
          </cell>
          <cell r="Q341">
            <v>15.7</v>
          </cell>
          <cell r="R341">
            <v>1.45</v>
          </cell>
          <cell r="S341">
            <v>23.1</v>
          </cell>
          <cell r="T341">
            <v>333.8</v>
          </cell>
          <cell r="U341">
            <v>10</v>
          </cell>
        </row>
        <row r="342">
          <cell r="A342" t="str">
            <v>CH063C (480 V)</v>
          </cell>
          <cell r="B342">
            <v>158.9</v>
          </cell>
          <cell r="C342">
            <v>30.5</v>
          </cell>
          <cell r="D342">
            <v>61.8</v>
          </cell>
          <cell r="E342">
            <v>11.3</v>
          </cell>
          <cell r="N342">
            <v>51.89835100822674</v>
          </cell>
          <cell r="O342">
            <v>1150</v>
          </cell>
          <cell r="P342">
            <v>1150</v>
          </cell>
          <cell r="Q342">
            <v>15.7</v>
          </cell>
          <cell r="R342">
            <v>1.45</v>
          </cell>
          <cell r="S342">
            <v>23.1</v>
          </cell>
          <cell r="T342">
            <v>333.8</v>
          </cell>
          <cell r="U342">
            <v>10</v>
          </cell>
        </row>
        <row r="343">
          <cell r="A343" t="str">
            <v>CH091A (400 V)</v>
          </cell>
          <cell r="B343">
            <v>120</v>
          </cell>
          <cell r="C343">
            <v>40</v>
          </cell>
          <cell r="D343">
            <v>50</v>
          </cell>
          <cell r="E343">
            <v>12.8</v>
          </cell>
          <cell r="L343">
            <v>28.842332447196419</v>
          </cell>
          <cell r="M343">
            <v>884</v>
          </cell>
          <cell r="P343">
            <v>1200</v>
          </cell>
          <cell r="Q343">
            <v>28</v>
          </cell>
          <cell r="R343">
            <v>0.91600000000000004</v>
          </cell>
          <cell r="S343">
            <v>7.8</v>
          </cell>
          <cell r="T343">
            <v>244</v>
          </cell>
          <cell r="U343">
            <v>38</v>
          </cell>
        </row>
        <row r="344">
          <cell r="A344" t="str">
            <v>CH091A (480 V)</v>
          </cell>
          <cell r="B344">
            <v>120</v>
          </cell>
          <cell r="C344">
            <v>40</v>
          </cell>
          <cell r="D344">
            <v>50</v>
          </cell>
          <cell r="E344">
            <v>12.8</v>
          </cell>
          <cell r="N344">
            <v>28.842332447196419</v>
          </cell>
          <cell r="O344">
            <v>884</v>
          </cell>
          <cell r="P344">
            <v>1500</v>
          </cell>
          <cell r="Q344">
            <v>28</v>
          </cell>
          <cell r="R344">
            <v>0.91600000000000004</v>
          </cell>
          <cell r="S344">
            <v>7.8</v>
          </cell>
          <cell r="T344">
            <v>244</v>
          </cell>
          <cell r="U344">
            <v>38</v>
          </cell>
        </row>
        <row r="345">
          <cell r="A345" t="str">
            <v>CH092A (400 V)</v>
          </cell>
          <cell r="B345">
            <v>227</v>
          </cell>
          <cell r="C345">
            <v>40</v>
          </cell>
          <cell r="D345">
            <v>101</v>
          </cell>
          <cell r="E345">
            <v>15.3</v>
          </cell>
          <cell r="L345">
            <v>69.437028028949783</v>
          </cell>
          <cell r="M345">
            <v>700</v>
          </cell>
          <cell r="P345">
            <v>700</v>
          </cell>
          <cell r="Q345">
            <v>47</v>
          </cell>
          <cell r="R345">
            <v>0.92100000000000004</v>
          </cell>
          <cell r="S345">
            <v>11</v>
          </cell>
          <cell r="T345">
            <v>441</v>
          </cell>
          <cell r="U345">
            <v>38</v>
          </cell>
        </row>
        <row r="346">
          <cell r="A346" t="str">
            <v>CH092A (480 V)</v>
          </cell>
          <cell r="B346">
            <v>227</v>
          </cell>
          <cell r="C346">
            <v>40</v>
          </cell>
          <cell r="D346">
            <v>101</v>
          </cell>
          <cell r="E346">
            <v>15.3</v>
          </cell>
          <cell r="N346">
            <v>67.944370989854903</v>
          </cell>
          <cell r="O346">
            <v>721</v>
          </cell>
          <cell r="P346">
            <v>800</v>
          </cell>
          <cell r="Q346">
            <v>47</v>
          </cell>
          <cell r="R346">
            <v>0.92100000000000004</v>
          </cell>
          <cell r="S346">
            <v>11</v>
          </cell>
          <cell r="T346">
            <v>441</v>
          </cell>
          <cell r="U346">
            <v>38</v>
          </cell>
        </row>
        <row r="347">
          <cell r="A347" t="str">
            <v>CH092C (400 V)</v>
          </cell>
          <cell r="B347">
            <v>231.2</v>
          </cell>
          <cell r="C347">
            <v>48</v>
          </cell>
          <cell r="D347">
            <v>101.6</v>
          </cell>
          <cell r="E347">
            <v>18.100000000000001</v>
          </cell>
          <cell r="L347">
            <v>60.041202281417512</v>
          </cell>
          <cell r="M347">
            <v>800</v>
          </cell>
          <cell r="P347">
            <v>800</v>
          </cell>
          <cell r="Q347">
            <v>47</v>
          </cell>
          <cell r="R347">
            <v>0.59</v>
          </cell>
          <cell r="S347">
            <v>7.35</v>
          </cell>
          <cell r="T347">
            <v>343</v>
          </cell>
          <cell r="U347">
            <v>38</v>
          </cell>
        </row>
        <row r="348">
          <cell r="A348" t="str">
            <v>CH092C (480 V)</v>
          </cell>
          <cell r="B348">
            <v>231.2</v>
          </cell>
          <cell r="C348">
            <v>48</v>
          </cell>
          <cell r="D348">
            <v>101.6</v>
          </cell>
          <cell r="E348">
            <v>18.100000000000001</v>
          </cell>
          <cell r="N348">
            <v>42.207890907970643</v>
          </cell>
          <cell r="O348">
            <v>1000</v>
          </cell>
          <cell r="P348">
            <v>1000</v>
          </cell>
          <cell r="Q348">
            <v>47</v>
          </cell>
          <cell r="R348">
            <v>0.64</v>
          </cell>
          <cell r="S348">
            <v>7.35</v>
          </cell>
          <cell r="T348">
            <v>343</v>
          </cell>
          <cell r="U348">
            <v>38</v>
          </cell>
        </row>
        <row r="349">
          <cell r="A349" t="str">
            <v>CH093A (400 V)</v>
          </cell>
          <cell r="B349">
            <v>309</v>
          </cell>
          <cell r="C349">
            <v>40</v>
          </cell>
          <cell r="D349">
            <v>145</v>
          </cell>
          <cell r="E349">
            <v>15.5</v>
          </cell>
          <cell r="L349">
            <v>109.38285179770261</v>
          </cell>
          <cell r="M349">
            <v>550</v>
          </cell>
          <cell r="P349">
            <v>550</v>
          </cell>
          <cell r="Q349">
            <v>66</v>
          </cell>
          <cell r="R349">
            <v>0.86699999999999999</v>
          </cell>
          <cell r="S349">
            <v>11</v>
          </cell>
          <cell r="T349">
            <v>517</v>
          </cell>
          <cell r="U349">
            <v>38</v>
          </cell>
        </row>
        <row r="350">
          <cell r="A350" t="str">
            <v>CH093A (480 V)</v>
          </cell>
          <cell r="B350">
            <v>309</v>
          </cell>
          <cell r="C350">
            <v>40</v>
          </cell>
          <cell r="D350">
            <v>145</v>
          </cell>
          <cell r="E350">
            <v>15.5</v>
          </cell>
          <cell r="N350">
            <v>96.52771935511548</v>
          </cell>
          <cell r="O350">
            <v>646</v>
          </cell>
          <cell r="P350">
            <v>650</v>
          </cell>
          <cell r="Q350">
            <v>66</v>
          </cell>
          <cell r="R350">
            <v>0.86699999999999999</v>
          </cell>
          <cell r="S350">
            <v>11</v>
          </cell>
          <cell r="T350">
            <v>517</v>
          </cell>
          <cell r="U350">
            <v>38</v>
          </cell>
        </row>
        <row r="351">
          <cell r="A351" t="str">
            <v>CH093C (400 V)</v>
          </cell>
          <cell r="B351">
            <v>316.60000000000002</v>
          </cell>
          <cell r="C351">
            <v>48</v>
          </cell>
          <cell r="D351">
            <v>139.4</v>
          </cell>
          <cell r="E351">
            <v>20</v>
          </cell>
          <cell r="L351">
            <v>87.853528586726242</v>
          </cell>
          <cell r="M351">
            <v>700</v>
          </cell>
          <cell r="P351">
            <v>700</v>
          </cell>
          <cell r="Q351">
            <v>66</v>
          </cell>
          <cell r="R351">
            <v>0.65</v>
          </cell>
          <cell r="S351">
            <v>7.54</v>
          </cell>
          <cell r="T351">
            <v>426</v>
          </cell>
          <cell r="U351">
            <v>38</v>
          </cell>
        </row>
        <row r="352">
          <cell r="A352" t="str">
            <v>CH093C (480 V)</v>
          </cell>
          <cell r="B352">
            <v>316.60000000000002</v>
          </cell>
          <cell r="C352">
            <v>48</v>
          </cell>
          <cell r="D352">
            <v>139.4</v>
          </cell>
          <cell r="E352">
            <v>20</v>
          </cell>
          <cell r="N352">
            <v>67.322540927871728</v>
          </cell>
          <cell r="O352">
            <v>800</v>
          </cell>
          <cell r="P352">
            <v>800</v>
          </cell>
          <cell r="Q352">
            <v>66</v>
          </cell>
          <cell r="R352">
            <v>0.59</v>
          </cell>
          <cell r="S352">
            <v>7.54</v>
          </cell>
          <cell r="T352">
            <v>426</v>
          </cell>
          <cell r="U352">
            <v>38</v>
          </cell>
        </row>
        <row r="353">
          <cell r="A353" t="str">
            <v>CH131A (400 V)</v>
          </cell>
          <cell r="B353">
            <v>389</v>
          </cell>
          <cell r="C353">
            <v>40</v>
          </cell>
          <cell r="D353">
            <v>188</v>
          </cell>
          <cell r="E353">
            <v>13.8</v>
          </cell>
          <cell r="L353">
            <v>142.7619839534301</v>
          </cell>
          <cell r="M353">
            <v>400</v>
          </cell>
          <cell r="P353">
            <v>400</v>
          </cell>
          <cell r="Q353">
            <v>123</v>
          </cell>
          <cell r="R353">
            <v>0.93</v>
          </cell>
          <cell r="S353">
            <v>13</v>
          </cell>
          <cell r="T353">
            <v>738</v>
          </cell>
          <cell r="U353">
            <v>46</v>
          </cell>
        </row>
        <row r="354">
          <cell r="A354" t="str">
            <v>CH131A (480 V)</v>
          </cell>
          <cell r="B354">
            <v>389</v>
          </cell>
          <cell r="C354">
            <v>40</v>
          </cell>
          <cell r="D354">
            <v>188</v>
          </cell>
          <cell r="E354">
            <v>13.8</v>
          </cell>
          <cell r="N354">
            <v>121.08508070431398</v>
          </cell>
          <cell r="O354">
            <v>500</v>
          </cell>
          <cell r="P354">
            <v>500</v>
          </cell>
          <cell r="Q354">
            <v>123</v>
          </cell>
          <cell r="R354">
            <v>0.93</v>
          </cell>
          <cell r="S354">
            <v>13</v>
          </cell>
          <cell r="T354">
            <v>738</v>
          </cell>
          <cell r="U354">
            <v>46</v>
          </cell>
        </row>
        <row r="355">
          <cell r="A355" t="str">
            <v>CH131B (400 V)</v>
          </cell>
          <cell r="B355">
            <v>396</v>
          </cell>
          <cell r="C355">
            <v>75.400000000000006</v>
          </cell>
          <cell r="D355">
            <v>190</v>
          </cell>
          <cell r="E355">
            <v>25.9</v>
          </cell>
          <cell r="L355">
            <v>123.9498696799681</v>
          </cell>
          <cell r="M355">
            <v>500</v>
          </cell>
          <cell r="P355">
            <v>800</v>
          </cell>
          <cell r="Q355">
            <v>123</v>
          </cell>
          <cell r="R355">
            <v>0.26100000000000001</v>
          </cell>
          <cell r="S355">
            <v>3.6</v>
          </cell>
          <cell r="T355">
            <v>398</v>
          </cell>
          <cell r="U355">
            <v>46</v>
          </cell>
        </row>
        <row r="356">
          <cell r="A356" t="str">
            <v>CH131B (480 V)</v>
          </cell>
          <cell r="B356">
            <v>396</v>
          </cell>
          <cell r="C356">
            <v>75.400000000000006</v>
          </cell>
          <cell r="D356">
            <v>190</v>
          </cell>
          <cell r="E356">
            <v>25.9</v>
          </cell>
          <cell r="N356">
            <v>123.9498696799681</v>
          </cell>
          <cell r="O356">
            <v>500</v>
          </cell>
          <cell r="P356">
            <v>1000</v>
          </cell>
          <cell r="Q356">
            <v>123</v>
          </cell>
          <cell r="R356">
            <v>0.26100000000000001</v>
          </cell>
          <cell r="S356">
            <v>3.6</v>
          </cell>
          <cell r="T356">
            <v>398</v>
          </cell>
          <cell r="U356">
            <v>46</v>
          </cell>
        </row>
        <row r="357">
          <cell r="A357" t="str">
            <v>CH131C (400 V)</v>
          </cell>
          <cell r="B357">
            <v>394.5</v>
          </cell>
          <cell r="C357">
            <v>48</v>
          </cell>
          <cell r="D357">
            <v>188.8</v>
          </cell>
          <cell r="E357">
            <v>18.8</v>
          </cell>
          <cell r="L357">
            <v>121.27606663602425</v>
          </cell>
          <cell r="M357">
            <v>500</v>
          </cell>
          <cell r="P357">
            <v>500</v>
          </cell>
          <cell r="Q357">
            <v>123</v>
          </cell>
          <cell r="R357">
            <v>1.1399999999999999</v>
          </cell>
          <cell r="S357">
            <v>8.67</v>
          </cell>
          <cell r="T357">
            <v>617</v>
          </cell>
          <cell r="U357">
            <v>46</v>
          </cell>
        </row>
        <row r="358">
          <cell r="A358" t="str">
            <v>CH131C (480 V)</v>
          </cell>
          <cell r="B358">
            <v>394.5</v>
          </cell>
          <cell r="C358">
            <v>48</v>
          </cell>
          <cell r="D358">
            <v>188.8</v>
          </cell>
          <cell r="E358">
            <v>18.8</v>
          </cell>
          <cell r="N358">
            <v>91.35493733474793</v>
          </cell>
          <cell r="O358">
            <v>600</v>
          </cell>
          <cell r="P358">
            <v>600</v>
          </cell>
          <cell r="Q358">
            <v>123</v>
          </cell>
          <cell r="R358">
            <v>0.65</v>
          </cell>
          <cell r="S358">
            <v>8.67</v>
          </cell>
          <cell r="T358">
            <v>617</v>
          </cell>
          <cell r="U358">
            <v>46</v>
          </cell>
        </row>
        <row r="359">
          <cell r="A359" t="str">
            <v>CH132A (400 V)</v>
          </cell>
          <cell r="B359">
            <v>836</v>
          </cell>
          <cell r="C359">
            <v>40</v>
          </cell>
          <cell r="D359">
            <v>361</v>
          </cell>
          <cell r="E359">
            <v>12.4</v>
          </cell>
          <cell r="L359">
            <v>315.60425215122842</v>
          </cell>
          <cell r="M359">
            <v>200</v>
          </cell>
          <cell r="P359">
            <v>200</v>
          </cell>
          <cell r="Q359">
            <v>225</v>
          </cell>
          <cell r="R359">
            <v>1.66</v>
          </cell>
          <cell r="S359">
            <v>29</v>
          </cell>
          <cell r="T359">
            <v>1584</v>
          </cell>
          <cell r="U359">
            <v>46</v>
          </cell>
        </row>
        <row r="360">
          <cell r="A360" t="str">
            <v>CH132A (480 V)</v>
          </cell>
          <cell r="B360">
            <v>836</v>
          </cell>
          <cell r="C360">
            <v>40</v>
          </cell>
          <cell r="D360">
            <v>361</v>
          </cell>
          <cell r="E360">
            <v>12.4</v>
          </cell>
          <cell r="N360">
            <v>298.70199719486919</v>
          </cell>
          <cell r="O360">
            <v>250</v>
          </cell>
          <cell r="P360">
            <v>250</v>
          </cell>
          <cell r="Q360">
            <v>225</v>
          </cell>
          <cell r="R360">
            <v>1.66</v>
          </cell>
          <cell r="S360">
            <v>29</v>
          </cell>
          <cell r="T360">
            <v>1584</v>
          </cell>
          <cell r="U360">
            <v>46</v>
          </cell>
        </row>
        <row r="361">
          <cell r="A361" t="str">
            <v>CH132B (400 V)</v>
          </cell>
          <cell r="B361">
            <v>742</v>
          </cell>
          <cell r="C361">
            <v>75.400000000000006</v>
          </cell>
          <cell r="D361">
            <v>361</v>
          </cell>
          <cell r="E361">
            <v>26.3</v>
          </cell>
          <cell r="L361">
            <v>232.08417017957396</v>
          </cell>
          <cell r="M361">
            <v>395</v>
          </cell>
          <cell r="P361">
            <v>400</v>
          </cell>
          <cell r="Q361">
            <v>225</v>
          </cell>
          <cell r="R361">
            <v>0.36899999999999999</v>
          </cell>
          <cell r="S361">
            <v>6.5</v>
          </cell>
          <cell r="T361">
            <v>746</v>
          </cell>
          <cell r="U361">
            <v>46</v>
          </cell>
        </row>
        <row r="362">
          <cell r="A362" t="str">
            <v>CH132B (480 V)</v>
          </cell>
          <cell r="B362">
            <v>742</v>
          </cell>
          <cell r="C362">
            <v>75.400000000000006</v>
          </cell>
          <cell r="D362">
            <v>361</v>
          </cell>
          <cell r="E362">
            <v>26.3</v>
          </cell>
          <cell r="N362">
            <v>232.08417017957396</v>
          </cell>
          <cell r="O362">
            <v>395</v>
          </cell>
          <cell r="P362">
            <v>500</v>
          </cell>
          <cell r="Q362">
            <v>225</v>
          </cell>
          <cell r="R362">
            <v>0.36899999999999999</v>
          </cell>
          <cell r="S362">
            <v>6.5</v>
          </cell>
          <cell r="T362">
            <v>746</v>
          </cell>
          <cell r="U362">
            <v>46</v>
          </cell>
        </row>
        <row r="363">
          <cell r="A363" t="str">
            <v>CH132C (400 V)</v>
          </cell>
          <cell r="B363">
            <v>818.3</v>
          </cell>
          <cell r="C363">
            <v>48</v>
          </cell>
          <cell r="D363">
            <v>361.7</v>
          </cell>
          <cell r="E363">
            <v>16.899999999999999</v>
          </cell>
          <cell r="L363">
            <v>298.70199719486919</v>
          </cell>
          <cell r="M363">
            <v>250</v>
          </cell>
          <cell r="P363">
            <v>250</v>
          </cell>
          <cell r="Q363">
            <v>225</v>
          </cell>
          <cell r="R363">
            <v>0.94</v>
          </cell>
          <cell r="S363">
            <v>19.899999999999999</v>
          </cell>
          <cell r="T363">
            <v>1313</v>
          </cell>
          <cell r="U363">
            <v>46</v>
          </cell>
        </row>
        <row r="364">
          <cell r="A364" t="str">
            <v>CH132C (480 V)</v>
          </cell>
          <cell r="B364">
            <v>818.3</v>
          </cell>
          <cell r="C364">
            <v>48</v>
          </cell>
          <cell r="D364">
            <v>361.7</v>
          </cell>
          <cell r="E364">
            <v>16.899999999999999</v>
          </cell>
          <cell r="N364">
            <v>279.15777018318443</v>
          </cell>
          <cell r="O364">
            <v>300</v>
          </cell>
          <cell r="P364">
            <v>300</v>
          </cell>
          <cell r="Q364">
            <v>225</v>
          </cell>
          <cell r="R364">
            <v>1.1399999999999999</v>
          </cell>
          <cell r="S364">
            <v>19.899999999999999</v>
          </cell>
          <cell r="T364">
            <v>1313</v>
          </cell>
          <cell r="U364">
            <v>46</v>
          </cell>
        </row>
        <row r="365">
          <cell r="A365" t="str">
            <v>CH133A (400 V)</v>
          </cell>
          <cell r="B365">
            <v>1016</v>
          </cell>
          <cell r="C365">
            <v>40</v>
          </cell>
          <cell r="D365">
            <v>504</v>
          </cell>
          <cell r="E365">
            <v>16.8</v>
          </cell>
          <cell r="L365">
            <v>445.23595329957726</v>
          </cell>
          <cell r="M365">
            <v>160</v>
          </cell>
          <cell r="P365">
            <v>160</v>
          </cell>
          <cell r="Q365">
            <v>302</v>
          </cell>
          <cell r="R365">
            <v>1.41</v>
          </cell>
          <cell r="S365">
            <v>26</v>
          </cell>
          <cell r="T365">
            <v>1837</v>
          </cell>
          <cell r="U365">
            <v>46</v>
          </cell>
        </row>
        <row r="366">
          <cell r="A366" t="str">
            <v>CH133A (480 V)</v>
          </cell>
          <cell r="B366">
            <v>1016</v>
          </cell>
          <cell r="C366">
            <v>40</v>
          </cell>
          <cell r="D366">
            <v>504</v>
          </cell>
          <cell r="E366">
            <v>16.8</v>
          </cell>
          <cell r="N366">
            <v>424.94369805536053</v>
          </cell>
          <cell r="O366">
            <v>200</v>
          </cell>
          <cell r="P366">
            <v>200</v>
          </cell>
          <cell r="Q366">
            <v>302</v>
          </cell>
          <cell r="R366">
            <v>1.41</v>
          </cell>
          <cell r="S366">
            <v>26</v>
          </cell>
          <cell r="T366">
            <v>1837</v>
          </cell>
          <cell r="U366">
            <v>46</v>
          </cell>
        </row>
        <row r="367">
          <cell r="A367" t="str">
            <v>CH133B (400 V)</v>
          </cell>
          <cell r="B367">
            <v>1017</v>
          </cell>
          <cell r="C367">
            <v>77.099999999999994</v>
          </cell>
          <cell r="D367">
            <v>510</v>
          </cell>
          <cell r="E367">
            <v>32.700000000000003</v>
          </cell>
          <cell r="L367">
            <v>326.68646213599573</v>
          </cell>
          <cell r="M367">
            <v>342</v>
          </cell>
          <cell r="P367">
            <v>350</v>
          </cell>
          <cell r="Q367">
            <v>302</v>
          </cell>
          <cell r="R367">
            <v>0.37</v>
          </cell>
          <cell r="S367">
            <v>7</v>
          </cell>
          <cell r="T367">
            <v>954</v>
          </cell>
          <cell r="U367">
            <v>46</v>
          </cell>
        </row>
        <row r="368">
          <cell r="A368" t="str">
            <v>CH133B (480 V)</v>
          </cell>
          <cell r="B368">
            <v>1017</v>
          </cell>
          <cell r="C368">
            <v>77.099999999999994</v>
          </cell>
          <cell r="D368">
            <v>510</v>
          </cell>
          <cell r="E368">
            <v>32.700000000000003</v>
          </cell>
          <cell r="N368">
            <v>326.68646213599573</v>
          </cell>
          <cell r="O368">
            <v>342</v>
          </cell>
          <cell r="P368">
            <v>400</v>
          </cell>
          <cell r="Q368">
            <v>302</v>
          </cell>
          <cell r="R368">
            <v>0.37</v>
          </cell>
          <cell r="S368">
            <v>7</v>
          </cell>
          <cell r="T368">
            <v>954</v>
          </cell>
          <cell r="U368">
            <v>46</v>
          </cell>
        </row>
        <row r="369">
          <cell r="A369" t="str">
            <v>CH133C (400 V)</v>
          </cell>
          <cell r="B369">
            <v>1072.5999999999999</v>
          </cell>
          <cell r="C369">
            <v>48</v>
          </cell>
          <cell r="D369">
            <v>498.7</v>
          </cell>
          <cell r="E369">
            <v>20</v>
          </cell>
          <cell r="L369">
            <v>433.53806498232291</v>
          </cell>
          <cell r="M369">
            <v>200</v>
          </cell>
          <cell r="P369">
            <v>200</v>
          </cell>
          <cell r="Q369">
            <v>302</v>
          </cell>
          <cell r="R369">
            <v>0.94</v>
          </cell>
          <cell r="S369">
            <v>18.100000000000001</v>
          </cell>
          <cell r="T369">
            <v>1536</v>
          </cell>
          <cell r="U369">
            <v>46</v>
          </cell>
        </row>
        <row r="370">
          <cell r="A370" t="str">
            <v>CH133C (480 V)</v>
          </cell>
          <cell r="B370">
            <v>1072.5999999999999</v>
          </cell>
          <cell r="C370">
            <v>48</v>
          </cell>
          <cell r="D370">
            <v>498.7</v>
          </cell>
          <cell r="E370">
            <v>20</v>
          </cell>
          <cell r="N370">
            <v>377.00622919608168</v>
          </cell>
          <cell r="O370">
            <v>250</v>
          </cell>
          <cell r="P370">
            <v>250</v>
          </cell>
          <cell r="Q370">
            <v>302</v>
          </cell>
          <cell r="R370">
            <v>0.94</v>
          </cell>
          <cell r="S370">
            <v>18.100000000000001</v>
          </cell>
          <cell r="T370">
            <v>1536</v>
          </cell>
          <cell r="U370">
            <v>46</v>
          </cell>
        </row>
        <row r="371">
          <cell r="A371" t="str">
            <v>KBM-10H01-A (120 V)</v>
          </cell>
          <cell r="B371">
            <v>1.17</v>
          </cell>
          <cell r="C371">
            <v>4.33</v>
          </cell>
          <cell r="D371">
            <v>0.48699999999999999</v>
          </cell>
          <cell r="E371">
            <v>1.73</v>
          </cell>
          <cell r="H371">
            <v>0.44870188775305436</v>
          </cell>
          <cell r="I371">
            <v>4150</v>
          </cell>
          <cell r="P371">
            <v>6565</v>
          </cell>
          <cell r="Q371">
            <v>4.9200000000000008E-3</v>
          </cell>
          <cell r="R371">
            <v>13</v>
          </cell>
          <cell r="S371">
            <v>19</v>
          </cell>
          <cell r="T371">
            <v>17.382100000000001</v>
          </cell>
          <cell r="U371">
            <v>6</v>
          </cell>
        </row>
        <row r="372">
          <cell r="A372" t="str">
            <v>KBM-10H01-A (240 V)</v>
          </cell>
          <cell r="B372">
            <v>1.17</v>
          </cell>
          <cell r="C372">
            <v>4.33</v>
          </cell>
          <cell r="D372">
            <v>0.48699999999999999</v>
          </cell>
          <cell r="E372">
            <v>1.73</v>
          </cell>
          <cell r="J372">
            <v>0.414767427451606</v>
          </cell>
          <cell r="K372">
            <v>9900</v>
          </cell>
          <cell r="P372">
            <v>13766</v>
          </cell>
          <cell r="Q372">
            <v>4.9200000000000008E-3</v>
          </cell>
          <cell r="R372">
            <v>13</v>
          </cell>
          <cell r="S372">
            <v>19</v>
          </cell>
          <cell r="T372">
            <v>17.382100000000001</v>
          </cell>
          <cell r="U372">
            <v>6</v>
          </cell>
        </row>
        <row r="373">
          <cell r="A373" t="str">
            <v>KBM-10H01-A (400 V)</v>
          </cell>
          <cell r="B373">
            <v>1.17</v>
          </cell>
          <cell r="C373">
            <v>4.33</v>
          </cell>
          <cell r="D373">
            <v>0.48699999999999999</v>
          </cell>
          <cell r="E373">
            <v>1.73</v>
          </cell>
          <cell r="L373">
            <v>0.36804580590000802</v>
          </cell>
          <cell r="M373">
            <v>14400</v>
          </cell>
          <cell r="P373">
            <v>16000</v>
          </cell>
          <cell r="Q373">
            <v>4.9200000000000008E-3</v>
          </cell>
          <cell r="R373">
            <v>13</v>
          </cell>
          <cell r="S373">
            <v>19</v>
          </cell>
          <cell r="T373">
            <v>17.382100000000001</v>
          </cell>
          <cell r="U373">
            <v>6</v>
          </cell>
        </row>
        <row r="374">
          <cell r="A374" t="str">
            <v>KBM-10H01-B (120 V)</v>
          </cell>
          <cell r="B374">
            <v>1.19</v>
          </cell>
          <cell r="C374">
            <v>8.6999999999999993</v>
          </cell>
          <cell r="D374">
            <v>0.50900000000000001</v>
          </cell>
          <cell r="E374">
            <v>3.37</v>
          </cell>
          <cell r="H374">
            <v>0.4297183463481174</v>
          </cell>
          <cell r="I374">
            <v>9000</v>
          </cell>
          <cell r="P374">
            <v>12319</v>
          </cell>
          <cell r="Q374">
            <v>4.9200000000000008E-3</v>
          </cell>
          <cell r="R374">
            <v>3.42</v>
          </cell>
          <cell r="S374">
            <v>5.2</v>
          </cell>
          <cell r="T374">
            <v>9.3041110000000007</v>
          </cell>
          <cell r="U374">
            <v>6</v>
          </cell>
        </row>
        <row r="375">
          <cell r="A375" t="str">
            <v>KBM-10H01-B (240 V)</v>
          </cell>
          <cell r="B375">
            <v>1.19</v>
          </cell>
          <cell r="C375">
            <v>8.6999999999999993</v>
          </cell>
          <cell r="D375">
            <v>0.50900000000000001</v>
          </cell>
          <cell r="E375">
            <v>3.37</v>
          </cell>
          <cell r="J375">
            <v>0.30970691628693148</v>
          </cell>
          <cell r="K375">
            <v>18500</v>
          </cell>
          <cell r="P375">
            <v>20000</v>
          </cell>
          <cell r="Q375">
            <v>4.9200000000000008E-3</v>
          </cell>
          <cell r="R375">
            <v>3.42</v>
          </cell>
          <cell r="S375">
            <v>5.2</v>
          </cell>
          <cell r="T375">
            <v>9.3041110000000007</v>
          </cell>
          <cell r="U375">
            <v>6</v>
          </cell>
        </row>
        <row r="376">
          <cell r="A376" t="str">
            <v>KBM-10H01-C (120 V)</v>
          </cell>
          <cell r="B376">
            <v>1.23</v>
          </cell>
          <cell r="C376">
            <v>13.8</v>
          </cell>
          <cell r="D376">
            <v>0.49199999999999999</v>
          </cell>
          <cell r="E376">
            <v>5.21</v>
          </cell>
          <cell r="H376">
            <v>0.34500684437985052</v>
          </cell>
          <cell r="I376">
            <v>15500</v>
          </cell>
          <cell r="P376">
            <v>19702</v>
          </cell>
          <cell r="Q376">
            <v>4.9200000000000008E-3</v>
          </cell>
          <cell r="R376">
            <v>1.44</v>
          </cell>
          <cell r="S376">
            <v>2.2000000000000002</v>
          </cell>
          <cell r="T376">
            <v>5.8349039999999999</v>
          </cell>
          <cell r="U376">
            <v>6</v>
          </cell>
        </row>
        <row r="377">
          <cell r="A377" t="str">
            <v>KBM-10H01-C (240 V)</v>
          </cell>
          <cell r="B377">
            <v>1.23</v>
          </cell>
          <cell r="C377">
            <v>13.8</v>
          </cell>
          <cell r="D377">
            <v>0.49199999999999999</v>
          </cell>
          <cell r="E377">
            <v>5.21</v>
          </cell>
          <cell r="J377">
            <v>0.29520674928335428</v>
          </cell>
          <cell r="K377">
            <v>18600</v>
          </cell>
          <cell r="P377">
            <v>20000</v>
          </cell>
          <cell r="Q377">
            <v>4.9200000000000008E-3</v>
          </cell>
          <cell r="R377">
            <v>1.44</v>
          </cell>
          <cell r="S377">
            <v>2.2000000000000002</v>
          </cell>
          <cell r="T377">
            <v>5.8349039999999999</v>
          </cell>
          <cell r="U377">
            <v>6</v>
          </cell>
        </row>
        <row r="378">
          <cell r="A378" t="str">
            <v>KBM-10H02-A (120 V)</v>
          </cell>
          <cell r="B378">
            <v>2.33</v>
          </cell>
          <cell r="C378">
            <v>4.33</v>
          </cell>
          <cell r="D378">
            <v>0.876</v>
          </cell>
          <cell r="E378">
            <v>1.53</v>
          </cell>
          <cell r="H378">
            <v>0.85343954991306192</v>
          </cell>
          <cell r="I378">
            <v>2070</v>
          </cell>
          <cell r="P378">
            <v>3359</v>
          </cell>
          <cell r="Q378">
            <v>1.03E-2</v>
          </cell>
          <cell r="R378">
            <v>20</v>
          </cell>
          <cell r="S378">
            <v>36</v>
          </cell>
          <cell r="T378">
            <v>35.4</v>
          </cell>
          <cell r="U378">
            <v>6</v>
          </cell>
        </row>
        <row r="379">
          <cell r="A379" t="str">
            <v>KBM-10H02-A (240 V)</v>
          </cell>
          <cell r="B379">
            <v>2.33</v>
          </cell>
          <cell r="C379">
            <v>4.33</v>
          </cell>
          <cell r="D379">
            <v>0.876</v>
          </cell>
          <cell r="E379">
            <v>1.53</v>
          </cell>
          <cell r="J379">
            <v>0.79409940026903569</v>
          </cell>
          <cell r="K379">
            <v>4750</v>
          </cell>
          <cell r="P379">
            <v>6753</v>
          </cell>
          <cell r="Q379">
            <v>1.03E-2</v>
          </cell>
          <cell r="R379">
            <v>20</v>
          </cell>
          <cell r="S379">
            <v>36</v>
          </cell>
          <cell r="T379">
            <v>35.4</v>
          </cell>
          <cell r="U379">
            <v>6</v>
          </cell>
        </row>
        <row r="380">
          <cell r="A380" t="str">
            <v>KBM-10H02-A (400 V)</v>
          </cell>
          <cell r="B380">
            <v>2.33</v>
          </cell>
          <cell r="C380">
            <v>4.33</v>
          </cell>
          <cell r="D380">
            <v>0.876</v>
          </cell>
          <cell r="E380">
            <v>1.53</v>
          </cell>
          <cell r="L380">
            <v>0.70832694452986378</v>
          </cell>
          <cell r="M380">
            <v>9100</v>
          </cell>
          <cell r="P380">
            <v>11291</v>
          </cell>
          <cell r="Q380">
            <v>1.03E-2</v>
          </cell>
          <cell r="R380">
            <v>20</v>
          </cell>
          <cell r="S380">
            <v>36</v>
          </cell>
          <cell r="T380">
            <v>35.4</v>
          </cell>
          <cell r="U380">
            <v>6</v>
          </cell>
        </row>
        <row r="381">
          <cell r="A381" t="str">
            <v>KBM-10H02-A (480 V)</v>
          </cell>
          <cell r="B381">
            <v>2.33</v>
          </cell>
          <cell r="C381">
            <v>4.33</v>
          </cell>
          <cell r="D381">
            <v>0.876</v>
          </cell>
          <cell r="E381">
            <v>1.53</v>
          </cell>
          <cell r="N381">
            <v>0.64240722484365043</v>
          </cell>
          <cell r="O381">
            <v>11000</v>
          </cell>
          <cell r="P381">
            <v>13564</v>
          </cell>
          <cell r="Q381">
            <v>1.03E-2</v>
          </cell>
          <cell r="R381">
            <v>20</v>
          </cell>
          <cell r="S381">
            <v>36</v>
          </cell>
          <cell r="T381">
            <v>35.4</v>
          </cell>
          <cell r="U381">
            <v>6</v>
          </cell>
        </row>
        <row r="382">
          <cell r="A382" t="str">
            <v>KBM-10H02-B (120 V)</v>
          </cell>
          <cell r="B382">
            <v>2.48</v>
          </cell>
          <cell r="C382">
            <v>8.65</v>
          </cell>
          <cell r="D382">
            <v>0.89900000000000002</v>
          </cell>
          <cell r="E382">
            <v>2.99</v>
          </cell>
          <cell r="H382">
            <v>0.82321522288911386</v>
          </cell>
          <cell r="I382">
            <v>4350</v>
          </cell>
          <cell r="P382">
            <v>6174</v>
          </cell>
          <cell r="Q382">
            <v>1.03E-2</v>
          </cell>
          <cell r="R382">
            <v>5.22</v>
          </cell>
          <cell r="S382">
            <v>9.6999999999999993</v>
          </cell>
          <cell r="T382">
            <v>18.536100000000001</v>
          </cell>
          <cell r="U382">
            <v>6</v>
          </cell>
        </row>
        <row r="383">
          <cell r="A383" t="str">
            <v>KBM-10H02-B (240 V)</v>
          </cell>
          <cell r="B383">
            <v>2.48</v>
          </cell>
          <cell r="C383">
            <v>8.65</v>
          </cell>
          <cell r="D383">
            <v>0.89900000000000002</v>
          </cell>
          <cell r="E383">
            <v>2.99</v>
          </cell>
          <cell r="J383">
            <v>0.70664794732801528</v>
          </cell>
          <cell r="K383">
            <v>10000</v>
          </cell>
          <cell r="P383">
            <v>12944</v>
          </cell>
          <cell r="Q383">
            <v>1.03E-2</v>
          </cell>
          <cell r="R383">
            <v>5.22</v>
          </cell>
          <cell r="S383">
            <v>9.6999999999999993</v>
          </cell>
          <cell r="T383">
            <v>18.536100000000001</v>
          </cell>
          <cell r="U383">
            <v>6</v>
          </cell>
        </row>
        <row r="384">
          <cell r="A384" t="str">
            <v>KBM-10H02-B (400 V)</v>
          </cell>
          <cell r="B384">
            <v>2.48</v>
          </cell>
          <cell r="C384">
            <v>8.65</v>
          </cell>
          <cell r="D384">
            <v>0.89900000000000002</v>
          </cell>
          <cell r="E384">
            <v>2.99</v>
          </cell>
          <cell r="L384">
            <v>0.49317090918607037</v>
          </cell>
          <cell r="M384">
            <v>15200</v>
          </cell>
          <cell r="P384">
            <v>16000</v>
          </cell>
          <cell r="Q384">
            <v>1.03E-2</v>
          </cell>
          <cell r="R384">
            <v>5.22</v>
          </cell>
          <cell r="S384">
            <v>9.6999999999999993</v>
          </cell>
          <cell r="T384">
            <v>18.536000000000001</v>
          </cell>
          <cell r="U384">
            <v>6</v>
          </cell>
        </row>
        <row r="385">
          <cell r="A385" t="str">
            <v>KBM-10H02-C (120 V)</v>
          </cell>
          <cell r="B385">
            <v>2.2400000000000002</v>
          </cell>
          <cell r="C385">
            <v>15.5</v>
          </cell>
          <cell r="D385">
            <v>0.86799999999999999</v>
          </cell>
          <cell r="E385">
            <v>5.14</v>
          </cell>
          <cell r="H385">
            <v>0.70215416069953829</v>
          </cell>
          <cell r="I385">
            <v>8500</v>
          </cell>
          <cell r="P385">
            <v>11008</v>
          </cell>
          <cell r="Q385">
            <v>1.03E-2</v>
          </cell>
          <cell r="R385">
            <v>1.77</v>
          </cell>
          <cell r="S385">
            <v>3.2</v>
          </cell>
          <cell r="T385">
            <v>10.46</v>
          </cell>
          <cell r="U385">
            <v>6</v>
          </cell>
        </row>
        <row r="386">
          <cell r="A386" t="str">
            <v>KBM-10H02-C (240 V)</v>
          </cell>
          <cell r="B386">
            <v>2.2400000000000002</v>
          </cell>
          <cell r="C386">
            <v>15.5</v>
          </cell>
          <cell r="D386">
            <v>0.86799999999999999</v>
          </cell>
          <cell r="E386">
            <v>5.14</v>
          </cell>
          <cell r="J386">
            <v>0.25034642399860291</v>
          </cell>
          <cell r="K386">
            <v>18500</v>
          </cell>
          <cell r="P386">
            <v>20000</v>
          </cell>
          <cell r="Q386">
            <v>1.03E-2</v>
          </cell>
          <cell r="R386">
            <v>1.77</v>
          </cell>
          <cell r="S386">
            <v>3.2</v>
          </cell>
          <cell r="T386">
            <v>10.46</v>
          </cell>
          <cell r="U386">
            <v>6</v>
          </cell>
        </row>
        <row r="387">
          <cell r="A387" t="str">
            <v>KBM-10H03-A (120 V)</v>
          </cell>
          <cell r="B387">
            <v>3.46</v>
          </cell>
          <cell r="C387">
            <v>4.8600000000000003</v>
          </cell>
          <cell r="D387">
            <v>1.1579999999999999</v>
          </cell>
          <cell r="E387">
            <v>1.54</v>
          </cell>
          <cell r="H387">
            <v>1.0725659208366858</v>
          </cell>
          <cell r="I387">
            <v>1380</v>
          </cell>
          <cell r="P387">
            <v>2455</v>
          </cell>
          <cell r="Q387">
            <v>1.55E-2</v>
          </cell>
          <cell r="R387">
            <v>21.2</v>
          </cell>
          <cell r="S387">
            <v>41</v>
          </cell>
          <cell r="T387">
            <v>46.4</v>
          </cell>
          <cell r="U387">
            <v>6</v>
          </cell>
        </row>
        <row r="388">
          <cell r="A388" t="str">
            <v>KBM-10H03-A (240 V)</v>
          </cell>
          <cell r="B388">
            <v>3.46</v>
          </cell>
          <cell r="C388">
            <v>4.8600000000000003</v>
          </cell>
          <cell r="D388">
            <v>1.1579999999999999</v>
          </cell>
          <cell r="E388">
            <v>1.54</v>
          </cell>
          <cell r="J388">
            <v>1.0203357995480415</v>
          </cell>
          <cell r="K388">
            <v>3650</v>
          </cell>
          <cell r="P388">
            <v>5155</v>
          </cell>
          <cell r="Q388">
            <v>1.55E-2</v>
          </cell>
          <cell r="R388">
            <v>21.2</v>
          </cell>
          <cell r="S388">
            <v>41</v>
          </cell>
          <cell r="T388">
            <v>46.4</v>
          </cell>
          <cell r="U388">
            <v>6</v>
          </cell>
        </row>
        <row r="389">
          <cell r="A389" t="str">
            <v>KBM-10H03-A (400 V)</v>
          </cell>
          <cell r="B389">
            <v>3.46</v>
          </cell>
          <cell r="C389">
            <v>4.8600000000000003</v>
          </cell>
          <cell r="D389">
            <v>1.1579999999999999</v>
          </cell>
          <cell r="E389">
            <v>1.54</v>
          </cell>
          <cell r="L389">
            <v>0.98952855922352334</v>
          </cell>
          <cell r="M389">
            <v>6900</v>
          </cell>
          <cell r="P389">
            <v>8619</v>
          </cell>
          <cell r="Q389">
            <v>1.55E-2</v>
          </cell>
          <cell r="R389">
            <v>21.2</v>
          </cell>
          <cell r="S389">
            <v>41</v>
          </cell>
          <cell r="T389">
            <v>46.4</v>
          </cell>
          <cell r="U389">
            <v>6</v>
          </cell>
        </row>
        <row r="390">
          <cell r="A390" t="str">
            <v>KBM-10H03-A (480 V)</v>
          </cell>
          <cell r="B390">
            <v>3.46</v>
          </cell>
          <cell r="C390">
            <v>4.8600000000000003</v>
          </cell>
          <cell r="D390">
            <v>1.1579999999999999</v>
          </cell>
          <cell r="E390">
            <v>1.54</v>
          </cell>
          <cell r="N390">
            <v>0.87628839255302382</v>
          </cell>
          <cell r="O390">
            <v>8500</v>
          </cell>
          <cell r="P390">
            <v>10354</v>
          </cell>
          <cell r="Q390">
            <v>1.55E-2</v>
          </cell>
          <cell r="R390">
            <v>21.2</v>
          </cell>
          <cell r="S390">
            <v>41</v>
          </cell>
          <cell r="T390">
            <v>46.4</v>
          </cell>
          <cell r="U390">
            <v>6</v>
          </cell>
        </row>
        <row r="391">
          <cell r="A391" t="str">
            <v>KBM-10H03-B (120 V)</v>
          </cell>
          <cell r="B391">
            <v>3.57</v>
          </cell>
          <cell r="C391">
            <v>7.73</v>
          </cell>
          <cell r="D391">
            <v>1.17</v>
          </cell>
          <cell r="E391">
            <v>2.4</v>
          </cell>
          <cell r="H391">
            <v>1.0672743242632983</v>
          </cell>
          <cell r="I391">
            <v>2550</v>
          </cell>
          <cell r="P391">
            <v>3799</v>
          </cell>
          <cell r="Q391">
            <v>1.55E-2</v>
          </cell>
          <cell r="R391">
            <v>8.77</v>
          </cell>
          <cell r="S391">
            <v>17</v>
          </cell>
          <cell r="T391">
            <v>30</v>
          </cell>
          <cell r="U391">
            <v>6</v>
          </cell>
        </row>
        <row r="392">
          <cell r="A392" t="str">
            <v>KBM-10H03-B (240 V)</v>
          </cell>
          <cell r="B392">
            <v>3.57</v>
          </cell>
          <cell r="C392">
            <v>7.73</v>
          </cell>
          <cell r="D392">
            <v>1.17</v>
          </cell>
          <cell r="E392">
            <v>2.4</v>
          </cell>
          <cell r="J392">
            <v>0.98185139021865797</v>
          </cell>
          <cell r="K392">
            <v>6030</v>
          </cell>
          <cell r="P392">
            <v>7967</v>
          </cell>
          <cell r="Q392">
            <v>1.55E-2</v>
          </cell>
          <cell r="R392">
            <v>8.77</v>
          </cell>
          <cell r="S392">
            <v>17</v>
          </cell>
          <cell r="T392">
            <v>30</v>
          </cell>
          <cell r="U392">
            <v>6</v>
          </cell>
        </row>
        <row r="393">
          <cell r="A393" t="str">
            <v>KBM-10H03-B (400 V)</v>
          </cell>
          <cell r="B393">
            <v>3.57</v>
          </cell>
          <cell r="C393">
            <v>7.73</v>
          </cell>
          <cell r="D393">
            <v>1.17</v>
          </cell>
          <cell r="E393">
            <v>2.4</v>
          </cell>
          <cell r="L393">
            <v>0.73391973757660023</v>
          </cell>
          <cell r="M393">
            <v>11450</v>
          </cell>
          <cell r="P393">
            <v>13319</v>
          </cell>
          <cell r="Q393">
            <v>1.55E-2</v>
          </cell>
          <cell r="R393">
            <v>8.77</v>
          </cell>
          <cell r="S393">
            <v>17</v>
          </cell>
          <cell r="T393">
            <v>30</v>
          </cell>
          <cell r="U393">
            <v>6</v>
          </cell>
        </row>
        <row r="394">
          <cell r="A394" t="str">
            <v>KBM-10H03-B (480 V)</v>
          </cell>
          <cell r="B394">
            <v>3.57</v>
          </cell>
          <cell r="C394">
            <v>7.73</v>
          </cell>
          <cell r="D394">
            <v>1.17</v>
          </cell>
          <cell r="E394">
            <v>2.4</v>
          </cell>
          <cell r="N394">
            <v>0.49415940372588485</v>
          </cell>
          <cell r="O394">
            <v>14300</v>
          </cell>
          <cell r="P394">
            <v>16000</v>
          </cell>
          <cell r="Q394">
            <v>1.55E-2</v>
          </cell>
          <cell r="R394">
            <v>8.77</v>
          </cell>
          <cell r="S394">
            <v>17</v>
          </cell>
          <cell r="T394">
            <v>30</v>
          </cell>
          <cell r="U394">
            <v>6</v>
          </cell>
        </row>
        <row r="395">
          <cell r="A395" t="str">
            <v>KBM-10H03-C (120 V)</v>
          </cell>
          <cell r="B395">
            <v>3.58</v>
          </cell>
          <cell r="C395">
            <v>9.7200000000000006</v>
          </cell>
          <cell r="D395">
            <v>1.19</v>
          </cell>
          <cell r="E395">
            <v>3.05</v>
          </cell>
          <cell r="H395">
            <v>1.0724594626807715</v>
          </cell>
          <cell r="I395">
            <v>3250</v>
          </cell>
          <cell r="P395">
            <v>4762</v>
          </cell>
          <cell r="Q395">
            <v>1.55E-2</v>
          </cell>
          <cell r="R395">
            <v>5.44</v>
          </cell>
          <cell r="S395">
            <v>11</v>
          </cell>
          <cell r="T395">
            <v>24</v>
          </cell>
          <cell r="U395">
            <v>6</v>
          </cell>
        </row>
        <row r="396">
          <cell r="A396" t="str">
            <v>KBM-10H03-C (240 V)</v>
          </cell>
          <cell r="B396">
            <v>3.58</v>
          </cell>
          <cell r="C396">
            <v>9.7200000000000006</v>
          </cell>
          <cell r="D396">
            <v>1.19</v>
          </cell>
          <cell r="E396">
            <v>3.05</v>
          </cell>
          <cell r="J396">
            <v>0.94236479462306444</v>
          </cell>
          <cell r="K396">
            <v>7600</v>
          </cell>
          <cell r="P396">
            <v>9983</v>
          </cell>
          <cell r="Q396">
            <v>1.55E-2</v>
          </cell>
          <cell r="R396">
            <v>5.44</v>
          </cell>
          <cell r="S396">
            <v>11</v>
          </cell>
          <cell r="T396">
            <v>24</v>
          </cell>
          <cell r="U396">
            <v>6</v>
          </cell>
        </row>
        <row r="397">
          <cell r="A397" t="str">
            <v>KBM-10H03-C (400 V)</v>
          </cell>
          <cell r="B397">
            <v>3.58</v>
          </cell>
          <cell r="C397">
            <v>9.7200000000000006</v>
          </cell>
          <cell r="D397">
            <v>1.19</v>
          </cell>
          <cell r="E397">
            <v>3.05</v>
          </cell>
          <cell r="L397">
            <v>0.47746482927568601</v>
          </cell>
          <cell r="M397">
            <v>14500</v>
          </cell>
          <cell r="P397">
            <v>16000</v>
          </cell>
          <cell r="Q397">
            <v>1.55E-2</v>
          </cell>
          <cell r="R397">
            <v>5.44</v>
          </cell>
          <cell r="S397">
            <v>11</v>
          </cell>
          <cell r="T397">
            <v>24</v>
          </cell>
          <cell r="U397">
            <v>6</v>
          </cell>
        </row>
        <row r="398">
          <cell r="A398" t="str">
            <v>KBM-10H03-D (120 V)</v>
          </cell>
          <cell r="B398">
            <v>15.5</v>
          </cell>
          <cell r="C398">
            <v>17.2</v>
          </cell>
          <cell r="D398">
            <v>1.18</v>
          </cell>
          <cell r="E398">
            <v>4.66</v>
          </cell>
          <cell r="H398">
            <v>1.0070167308359925</v>
          </cell>
          <cell r="I398">
            <v>5500</v>
          </cell>
          <cell r="P398">
            <v>7333</v>
          </cell>
          <cell r="Q398">
            <v>1.55E-2</v>
          </cell>
          <cell r="R398">
            <v>2.34</v>
          </cell>
          <cell r="S398">
            <v>4.7</v>
          </cell>
          <cell r="T398">
            <v>15.7</v>
          </cell>
          <cell r="U398">
            <v>6</v>
          </cell>
        </row>
        <row r="399">
          <cell r="A399" t="str">
            <v>KBM-10H03-D (240 V)</v>
          </cell>
          <cell r="B399">
            <v>15.5</v>
          </cell>
          <cell r="C399">
            <v>17.2</v>
          </cell>
          <cell r="D399">
            <v>1.18</v>
          </cell>
          <cell r="E399">
            <v>4.66</v>
          </cell>
          <cell r="J399">
            <v>0.62437708443743556</v>
          </cell>
          <cell r="K399">
            <v>13000</v>
          </cell>
          <cell r="P399">
            <v>15373</v>
          </cell>
          <cell r="Q399">
            <v>1.55E-2</v>
          </cell>
          <cell r="R399">
            <v>2.34</v>
          </cell>
          <cell r="S399">
            <v>4.7</v>
          </cell>
          <cell r="T399">
            <v>15.7</v>
          </cell>
          <cell r="U399">
            <v>6</v>
          </cell>
        </row>
        <row r="400">
          <cell r="A400" t="str">
            <v>KBM-10H04-A (120 V)</v>
          </cell>
          <cell r="B400">
            <v>4.66</v>
          </cell>
          <cell r="C400">
            <v>5.46</v>
          </cell>
          <cell r="D400">
            <v>1.44</v>
          </cell>
          <cell r="E400">
            <v>1.6</v>
          </cell>
          <cell r="H400">
            <v>1.3285977858106046</v>
          </cell>
          <cell r="I400">
            <v>1150</v>
          </cell>
          <cell r="P400">
            <v>2022</v>
          </cell>
          <cell r="Q400">
            <v>2.01E-2</v>
          </cell>
          <cell r="R400">
            <v>20.399999999999999</v>
          </cell>
          <cell r="S400">
            <v>44</v>
          </cell>
          <cell r="T400">
            <v>56.2</v>
          </cell>
          <cell r="U400">
            <v>6</v>
          </cell>
        </row>
        <row r="401">
          <cell r="A401" t="str">
            <v>KBM-10H04-A (240 V)</v>
          </cell>
          <cell r="B401">
            <v>4.66</v>
          </cell>
          <cell r="C401">
            <v>5.46</v>
          </cell>
          <cell r="D401">
            <v>1.44</v>
          </cell>
          <cell r="E401">
            <v>1.6</v>
          </cell>
          <cell r="J401">
            <v>1.2891550390443522</v>
          </cell>
          <cell r="K401">
            <v>3000</v>
          </cell>
          <cell r="P401">
            <v>4251</v>
          </cell>
          <cell r="Q401">
            <v>2.01E-2</v>
          </cell>
          <cell r="R401">
            <v>20.399999999999999</v>
          </cell>
          <cell r="S401">
            <v>44</v>
          </cell>
          <cell r="T401">
            <v>56.2</v>
          </cell>
          <cell r="U401">
            <v>6</v>
          </cell>
        </row>
        <row r="402">
          <cell r="A402" t="str">
            <v>KBM-10H04-A (400 V)</v>
          </cell>
          <cell r="B402">
            <v>4.66</v>
          </cell>
          <cell r="C402">
            <v>5.46</v>
          </cell>
          <cell r="D402">
            <v>1.44</v>
          </cell>
          <cell r="E402">
            <v>1.6</v>
          </cell>
          <cell r="L402">
            <v>1.1791305349069114</v>
          </cell>
          <cell r="M402">
            <v>5750</v>
          </cell>
          <cell r="P402">
            <v>7109</v>
          </cell>
          <cell r="Q402">
            <v>2.01E-2</v>
          </cell>
          <cell r="R402">
            <v>20.399999999999999</v>
          </cell>
          <cell r="S402">
            <v>44</v>
          </cell>
          <cell r="T402">
            <v>56.2</v>
          </cell>
          <cell r="U402">
            <v>6</v>
          </cell>
        </row>
        <row r="403">
          <cell r="A403" t="str">
            <v>KBM-10H04-A (480 V)</v>
          </cell>
          <cell r="B403">
            <v>4.66</v>
          </cell>
          <cell r="C403">
            <v>5.46</v>
          </cell>
          <cell r="D403">
            <v>1.44</v>
          </cell>
          <cell r="E403">
            <v>1.6</v>
          </cell>
          <cell r="N403">
            <v>1.1106983262583334</v>
          </cell>
          <cell r="O403">
            <v>7050</v>
          </cell>
          <cell r="P403">
            <v>8541</v>
          </cell>
          <cell r="Q403">
            <v>2.01E-2</v>
          </cell>
          <cell r="R403">
            <v>20.399999999999999</v>
          </cell>
          <cell r="S403">
            <v>44</v>
          </cell>
          <cell r="T403">
            <v>56.2</v>
          </cell>
          <cell r="U403">
            <v>6</v>
          </cell>
        </row>
        <row r="404">
          <cell r="A404" t="str">
            <v>KBM-10H04-B (120 V)</v>
          </cell>
          <cell r="B404">
            <v>4.75</v>
          </cell>
          <cell r="C404">
            <v>8.6999999999999993</v>
          </cell>
          <cell r="D404">
            <v>1.41</v>
          </cell>
          <cell r="E404">
            <v>2.4</v>
          </cell>
          <cell r="H404">
            <v>1.2732395447351628</v>
          </cell>
          <cell r="I404">
            <v>2100</v>
          </cell>
          <cell r="P404">
            <v>3131</v>
          </cell>
          <cell r="Q404">
            <v>2.01E-2</v>
          </cell>
          <cell r="R404">
            <v>9.02</v>
          </cell>
          <cell r="S404">
            <v>19</v>
          </cell>
          <cell r="T404">
            <v>36.4</v>
          </cell>
          <cell r="U404">
            <v>6</v>
          </cell>
        </row>
        <row r="405">
          <cell r="A405" t="str">
            <v>KBM-10H04-B (240 V)</v>
          </cell>
          <cell r="B405">
            <v>4.75</v>
          </cell>
          <cell r="C405">
            <v>8.6999999999999993</v>
          </cell>
          <cell r="D405">
            <v>1.41</v>
          </cell>
          <cell r="E405">
            <v>2.4</v>
          </cell>
          <cell r="J405">
            <v>1.1888682496021099</v>
          </cell>
          <cell r="K405">
            <v>4980</v>
          </cell>
          <cell r="P405">
            <v>6571</v>
          </cell>
          <cell r="Q405">
            <v>2.01E-2</v>
          </cell>
          <cell r="R405">
            <v>9.02</v>
          </cell>
          <cell r="S405">
            <v>19</v>
          </cell>
          <cell r="T405">
            <v>36.4</v>
          </cell>
          <cell r="U405">
            <v>6</v>
          </cell>
        </row>
        <row r="406">
          <cell r="A406" t="str">
            <v>KBM-10H04-B (400 V)</v>
          </cell>
          <cell r="B406">
            <v>4.75</v>
          </cell>
          <cell r="C406">
            <v>8.6999999999999993</v>
          </cell>
          <cell r="D406">
            <v>1.41</v>
          </cell>
          <cell r="E406">
            <v>2.4</v>
          </cell>
          <cell r="L406">
            <v>0.90467020283814192</v>
          </cell>
          <cell r="M406">
            <v>9500</v>
          </cell>
          <cell r="P406">
            <v>10987</v>
          </cell>
          <cell r="Q406">
            <v>2.01E-2</v>
          </cell>
          <cell r="R406">
            <v>9.02</v>
          </cell>
          <cell r="S406">
            <v>19</v>
          </cell>
          <cell r="T406">
            <v>36.4</v>
          </cell>
          <cell r="U406">
            <v>6</v>
          </cell>
        </row>
        <row r="407">
          <cell r="A407" t="str">
            <v>KBM-10H04-B (480 V)</v>
          </cell>
          <cell r="B407">
            <v>4.75</v>
          </cell>
          <cell r="C407">
            <v>8.6999999999999993</v>
          </cell>
          <cell r="D407">
            <v>1.41</v>
          </cell>
          <cell r="E407">
            <v>2.4</v>
          </cell>
          <cell r="N407">
            <v>0.71412130987319988</v>
          </cell>
          <cell r="O407">
            <v>11500</v>
          </cell>
          <cell r="P407">
            <v>13200</v>
          </cell>
          <cell r="Q407">
            <v>2.01E-2</v>
          </cell>
          <cell r="R407">
            <v>9.02</v>
          </cell>
          <cell r="S407">
            <v>19</v>
          </cell>
          <cell r="T407">
            <v>36.4</v>
          </cell>
          <cell r="U407">
            <v>6</v>
          </cell>
        </row>
        <row r="408">
          <cell r="A408" t="str">
            <v>KBM-10H04-C (120 V)</v>
          </cell>
          <cell r="B408">
            <v>4.8</v>
          </cell>
          <cell r="C408">
            <v>10.9</v>
          </cell>
          <cell r="D408">
            <v>1.44</v>
          </cell>
          <cell r="E408">
            <v>3.1</v>
          </cell>
          <cell r="H408">
            <v>1.308607309866695</v>
          </cell>
          <cell r="I408">
            <v>2700</v>
          </cell>
          <cell r="P408">
            <v>3944</v>
          </cell>
          <cell r="Q408">
            <v>2.01E-2</v>
          </cell>
          <cell r="R408">
            <v>5.44</v>
          </cell>
          <cell r="S408">
            <v>11.8</v>
          </cell>
          <cell r="T408">
            <v>29</v>
          </cell>
          <cell r="U408">
            <v>6</v>
          </cell>
        </row>
        <row r="409">
          <cell r="A409" t="str">
            <v>KBM-10H04-C (240 V)</v>
          </cell>
          <cell r="B409">
            <v>4.8</v>
          </cell>
          <cell r="C409">
            <v>10.9</v>
          </cell>
          <cell r="D409">
            <v>1.44</v>
          </cell>
          <cell r="E409">
            <v>3.1</v>
          </cell>
          <cell r="J409">
            <v>1.1519786357127662</v>
          </cell>
          <cell r="K409">
            <v>6300</v>
          </cell>
          <cell r="P409">
            <v>8273</v>
          </cell>
          <cell r="Q409">
            <v>2.01E-2</v>
          </cell>
          <cell r="R409">
            <v>5.44</v>
          </cell>
          <cell r="S409">
            <v>11.8</v>
          </cell>
          <cell r="T409">
            <v>29</v>
          </cell>
          <cell r="U409">
            <v>6</v>
          </cell>
        </row>
        <row r="410">
          <cell r="A410" t="str">
            <v>KBM-10H04-C (400 V)</v>
          </cell>
          <cell r="B410">
            <v>4.8</v>
          </cell>
          <cell r="C410">
            <v>10.9</v>
          </cell>
          <cell r="D410">
            <v>1.44</v>
          </cell>
          <cell r="E410">
            <v>3.1</v>
          </cell>
          <cell r="L410">
            <v>0.66845076098596046</v>
          </cell>
          <cell r="M410">
            <v>12000</v>
          </cell>
          <cell r="P410">
            <v>13833</v>
          </cell>
          <cell r="Q410">
            <v>2.01E-2</v>
          </cell>
          <cell r="R410">
            <v>5.44</v>
          </cell>
          <cell r="S410">
            <v>11.8</v>
          </cell>
          <cell r="T410">
            <v>29</v>
          </cell>
          <cell r="U410">
            <v>6</v>
          </cell>
        </row>
        <row r="411">
          <cell r="A411" t="str">
            <v>KBM-10H04-D (120 V)</v>
          </cell>
          <cell r="B411">
            <v>4.91</v>
          </cell>
          <cell r="C411">
            <v>15.5</v>
          </cell>
          <cell r="D411">
            <v>1.41</v>
          </cell>
          <cell r="E411">
            <v>4.21</v>
          </cell>
          <cell r="H411">
            <v>1.2277667038517641</v>
          </cell>
          <cell r="I411">
            <v>4200</v>
          </cell>
          <cell r="P411">
            <v>5489</v>
          </cell>
          <cell r="Q411">
            <v>2.01E-2</v>
          </cell>
          <cell r="R411">
            <v>2.94</v>
          </cell>
          <cell r="S411">
            <v>6.2</v>
          </cell>
          <cell r="T411">
            <v>20.9</v>
          </cell>
          <cell r="U411">
            <v>6</v>
          </cell>
        </row>
        <row r="412">
          <cell r="A412" t="str">
            <v>KBM-10H04-D (240 V)</v>
          </cell>
          <cell r="B412">
            <v>4.91</v>
          </cell>
          <cell r="C412">
            <v>15.5</v>
          </cell>
          <cell r="D412">
            <v>1.41</v>
          </cell>
          <cell r="E412">
            <v>4.21</v>
          </cell>
          <cell r="J412">
            <v>0.909696148409465</v>
          </cell>
          <cell r="K412">
            <v>9500</v>
          </cell>
          <cell r="P412">
            <v>11509</v>
          </cell>
          <cell r="Q412">
            <v>2.01E-2</v>
          </cell>
          <cell r="R412">
            <v>2.94</v>
          </cell>
          <cell r="S412">
            <v>6.2</v>
          </cell>
          <cell r="T412">
            <v>20.9</v>
          </cell>
          <cell r="U412">
            <v>6</v>
          </cell>
        </row>
        <row r="413">
          <cell r="A413" t="str">
            <v>KBM-14H01-A (120 V)</v>
          </cell>
          <cell r="B413">
            <v>3.28</v>
          </cell>
          <cell r="C413">
            <v>4.32</v>
          </cell>
          <cell r="D413">
            <v>1.2</v>
          </cell>
          <cell r="E413">
            <v>1.53</v>
          </cell>
          <cell r="H413">
            <v>1.1018419137131217</v>
          </cell>
          <cell r="I413">
            <v>1300</v>
          </cell>
          <cell r="P413">
            <v>2308</v>
          </cell>
          <cell r="Q413">
            <v>2.41E-2</v>
          </cell>
          <cell r="R413">
            <v>21.4</v>
          </cell>
          <cell r="S413">
            <v>38</v>
          </cell>
          <cell r="T413">
            <v>49.3</v>
          </cell>
          <cell r="U413">
            <v>8</v>
          </cell>
        </row>
        <row r="414">
          <cell r="A414" t="str">
            <v>KBM-14H01-A (240 V)</v>
          </cell>
          <cell r="B414">
            <v>3.28</v>
          </cell>
          <cell r="C414">
            <v>4.32</v>
          </cell>
          <cell r="D414">
            <v>1.2</v>
          </cell>
          <cell r="E414">
            <v>1.53</v>
          </cell>
          <cell r="J414">
            <v>1.083203791789616</v>
          </cell>
          <cell r="K414">
            <v>3350</v>
          </cell>
          <cell r="P414">
            <v>4849</v>
          </cell>
          <cell r="Q414">
            <v>2.41E-2</v>
          </cell>
          <cell r="R414">
            <v>21.4</v>
          </cell>
          <cell r="S414">
            <v>38</v>
          </cell>
          <cell r="T414">
            <v>49.3</v>
          </cell>
          <cell r="U414">
            <v>8</v>
          </cell>
        </row>
        <row r="415">
          <cell r="A415" t="str">
            <v>KBM-14H01-A (400 V)</v>
          </cell>
          <cell r="B415">
            <v>3.28</v>
          </cell>
          <cell r="C415">
            <v>4.32</v>
          </cell>
          <cell r="D415">
            <v>1.2</v>
          </cell>
          <cell r="E415">
            <v>1.53</v>
          </cell>
          <cell r="L415">
            <v>0.9698504344662372</v>
          </cell>
          <cell r="M415">
            <v>6400</v>
          </cell>
          <cell r="P415">
            <v>8109</v>
          </cell>
          <cell r="Q415">
            <v>2.41E-2</v>
          </cell>
          <cell r="R415">
            <v>21.4</v>
          </cell>
          <cell r="S415">
            <v>38</v>
          </cell>
          <cell r="T415">
            <v>49.3</v>
          </cell>
          <cell r="U415">
            <v>8</v>
          </cell>
        </row>
        <row r="416">
          <cell r="A416" t="str">
            <v>KBM-14H01-A (480 V)</v>
          </cell>
          <cell r="B416">
            <v>3.28</v>
          </cell>
          <cell r="C416">
            <v>4.32</v>
          </cell>
          <cell r="D416">
            <v>1.2</v>
          </cell>
          <cell r="E416">
            <v>1.53</v>
          </cell>
          <cell r="N416">
            <v>0.89449107256710791</v>
          </cell>
          <cell r="O416">
            <v>7900</v>
          </cell>
          <cell r="P416">
            <v>9741</v>
          </cell>
          <cell r="Q416">
            <v>2.41E-2</v>
          </cell>
          <cell r="R416">
            <v>21.4</v>
          </cell>
          <cell r="S416">
            <v>38</v>
          </cell>
          <cell r="T416">
            <v>49.3</v>
          </cell>
          <cell r="U416">
            <v>8</v>
          </cell>
        </row>
        <row r="417">
          <cell r="A417" t="str">
            <v>KBM-14H01-B (120 V)</v>
          </cell>
          <cell r="B417">
            <v>3.43</v>
          </cell>
          <cell r="C417">
            <v>9.6300000000000008</v>
          </cell>
          <cell r="D417">
            <v>1.25</v>
          </cell>
          <cell r="E417">
            <v>3.25</v>
          </cell>
          <cell r="H417">
            <v>1.1186318857316073</v>
          </cell>
          <cell r="I417">
            <v>3500</v>
          </cell>
          <cell r="P417">
            <v>5022</v>
          </cell>
          <cell r="Q417">
            <v>2.41E-2</v>
          </cell>
          <cell r="R417">
            <v>4.74</v>
          </cell>
          <cell r="S417">
            <v>9</v>
          </cell>
          <cell r="T417">
            <v>23.7</v>
          </cell>
          <cell r="U417">
            <v>8</v>
          </cell>
        </row>
        <row r="418">
          <cell r="A418" t="str">
            <v>KBM-14H01-B (240 V)</v>
          </cell>
          <cell r="B418">
            <v>3.43</v>
          </cell>
          <cell r="C418">
            <v>9.6300000000000008</v>
          </cell>
          <cell r="D418">
            <v>1.25</v>
          </cell>
          <cell r="E418">
            <v>3.25</v>
          </cell>
          <cell r="J418">
            <v>0.93691211782398764</v>
          </cell>
          <cell r="K418">
            <v>7950</v>
          </cell>
          <cell r="P418">
            <v>10088</v>
          </cell>
          <cell r="Q418">
            <v>2.41E-2</v>
          </cell>
          <cell r="R418">
            <v>4.74</v>
          </cell>
          <cell r="S418">
            <v>9</v>
          </cell>
          <cell r="T418">
            <v>23.7</v>
          </cell>
          <cell r="U418">
            <v>8</v>
          </cell>
        </row>
        <row r="419">
          <cell r="A419" t="str">
            <v>KBM-14H01-B (400 V)</v>
          </cell>
          <cell r="B419">
            <v>3.43</v>
          </cell>
          <cell r="C419">
            <v>9.6300000000000008</v>
          </cell>
          <cell r="D419">
            <v>1.25</v>
          </cell>
          <cell r="E419">
            <v>3.25</v>
          </cell>
          <cell r="L419">
            <v>0.56102117439893107</v>
          </cell>
          <cell r="M419">
            <v>12000</v>
          </cell>
          <cell r="P419">
            <v>12000</v>
          </cell>
          <cell r="Q419">
            <v>2.41E-2</v>
          </cell>
          <cell r="R419">
            <v>4.74</v>
          </cell>
          <cell r="S419">
            <v>9</v>
          </cell>
          <cell r="T419">
            <v>23.7</v>
          </cell>
          <cell r="U419">
            <v>8</v>
          </cell>
        </row>
        <row r="420">
          <cell r="A420" t="str">
            <v>KBM-14H01-C (120 V)</v>
          </cell>
          <cell r="B420">
            <v>3.59</v>
          </cell>
          <cell r="C420">
            <v>19.399999999999999</v>
          </cell>
          <cell r="D420">
            <v>1.21</v>
          </cell>
          <cell r="E420">
            <v>6.25</v>
          </cell>
          <cell r="H420">
            <v>0.91036627448564134</v>
          </cell>
          <cell r="I420">
            <v>7500</v>
          </cell>
          <cell r="P420">
            <v>9539</v>
          </cell>
          <cell r="Q420">
            <v>2.41E-2</v>
          </cell>
          <cell r="R420">
            <v>1.29</v>
          </cell>
          <cell r="S420">
            <v>2.4</v>
          </cell>
          <cell r="T420">
            <v>12.1</v>
          </cell>
          <cell r="U420">
            <v>8</v>
          </cell>
        </row>
        <row r="421">
          <cell r="A421" t="str">
            <v>KBM-14H01-C (240 V)</v>
          </cell>
          <cell r="B421">
            <v>3.59</v>
          </cell>
          <cell r="C421">
            <v>19.399999999999999</v>
          </cell>
          <cell r="D421">
            <v>1.21</v>
          </cell>
          <cell r="E421">
            <v>6.25</v>
          </cell>
          <cell r="J421">
            <v>0.64723010190704111</v>
          </cell>
          <cell r="K421">
            <v>13500</v>
          </cell>
          <cell r="P421">
            <v>12000</v>
          </cell>
          <cell r="Q421">
            <v>2.41E-2</v>
          </cell>
          <cell r="R421">
            <v>1.29</v>
          </cell>
          <cell r="S421">
            <v>2.4</v>
          </cell>
          <cell r="T421">
            <v>12.1</v>
          </cell>
          <cell r="U421">
            <v>8</v>
          </cell>
        </row>
        <row r="422">
          <cell r="A422" t="str">
            <v>KBM-14H02-A (120 V)</v>
          </cell>
          <cell r="B422">
            <v>6.67</v>
          </cell>
          <cell r="C422">
            <v>5.39</v>
          </cell>
          <cell r="D422">
            <v>2.08</v>
          </cell>
          <cell r="E422">
            <v>1.59</v>
          </cell>
          <cell r="H422">
            <v>1.9757165349338732</v>
          </cell>
          <cell r="I422">
            <v>725</v>
          </cell>
          <cell r="P422">
            <v>1461</v>
          </cell>
          <cell r="Q422">
            <v>4.8800000000000003E-2</v>
          </cell>
          <cell r="R422">
            <v>23.8</v>
          </cell>
          <cell r="S422">
            <v>47</v>
          </cell>
          <cell r="T422">
            <v>80.8</v>
          </cell>
          <cell r="U422">
            <v>8</v>
          </cell>
        </row>
        <row r="423">
          <cell r="A423" t="str">
            <v>KBM-14H02-A (240 V)</v>
          </cell>
          <cell r="B423">
            <v>6.67</v>
          </cell>
          <cell r="C423">
            <v>5.39</v>
          </cell>
          <cell r="D423">
            <v>2.08</v>
          </cell>
          <cell r="E423">
            <v>1.59</v>
          </cell>
          <cell r="J423">
            <v>1.8621128341751756</v>
          </cell>
          <cell r="K423">
            <v>2000</v>
          </cell>
          <cell r="P423">
            <v>2944</v>
          </cell>
          <cell r="Q423">
            <v>4.8800000000000003E-2</v>
          </cell>
          <cell r="R423">
            <v>23.8</v>
          </cell>
          <cell r="S423">
            <v>47</v>
          </cell>
          <cell r="T423">
            <v>80.8</v>
          </cell>
          <cell r="U423">
            <v>8</v>
          </cell>
        </row>
        <row r="424">
          <cell r="A424" t="str">
            <v>KBM-14H02-A (400 V)</v>
          </cell>
          <cell r="B424">
            <v>6.67</v>
          </cell>
          <cell r="C424">
            <v>5.39</v>
          </cell>
          <cell r="D424">
            <v>2.08</v>
          </cell>
          <cell r="E424">
            <v>1.59</v>
          </cell>
          <cell r="L424">
            <v>1.7384616860807027</v>
          </cell>
          <cell r="M424">
            <v>3900</v>
          </cell>
          <cell r="P424">
            <v>4924</v>
          </cell>
          <cell r="Q424">
            <v>4.8800000000000003E-2</v>
          </cell>
          <cell r="R424">
            <v>23.8</v>
          </cell>
          <cell r="S424">
            <v>47</v>
          </cell>
          <cell r="T424">
            <v>80.8</v>
          </cell>
          <cell r="U424">
            <v>8</v>
          </cell>
        </row>
        <row r="425">
          <cell r="A425" t="str">
            <v>KBM-14H02-A (480 V)</v>
          </cell>
          <cell r="B425">
            <v>6.67</v>
          </cell>
          <cell r="C425">
            <v>5.39</v>
          </cell>
          <cell r="D425">
            <v>2.08</v>
          </cell>
          <cell r="E425">
            <v>1.59</v>
          </cell>
          <cell r="N425">
            <v>1.6370222718023522</v>
          </cell>
          <cell r="O425">
            <v>4900</v>
          </cell>
          <cell r="P425">
            <v>5915</v>
          </cell>
          <cell r="Q425">
            <v>4.8800000000000003E-2</v>
          </cell>
          <cell r="R425">
            <v>23.8</v>
          </cell>
          <cell r="S425">
            <v>47</v>
          </cell>
          <cell r="T425">
            <v>80.8</v>
          </cell>
          <cell r="U425">
            <v>8</v>
          </cell>
        </row>
        <row r="426">
          <cell r="A426" t="str">
            <v>KBM-14H02-B (120 V)</v>
          </cell>
          <cell r="B426">
            <v>6.83</v>
          </cell>
          <cell r="C426">
            <v>8.57</v>
          </cell>
          <cell r="D426">
            <v>2.08</v>
          </cell>
          <cell r="E426">
            <v>2.42</v>
          </cell>
          <cell r="H426">
            <v>1.909859317102744</v>
          </cell>
          <cell r="I426">
            <v>1350</v>
          </cell>
          <cell r="P426">
            <v>2139</v>
          </cell>
          <cell r="Q426">
            <v>4.8800000000000003E-2</v>
          </cell>
          <cell r="R426">
            <v>10.3</v>
          </cell>
          <cell r="S426">
            <v>20</v>
          </cell>
          <cell r="T426">
            <v>53.4</v>
          </cell>
          <cell r="U426">
            <v>8</v>
          </cell>
        </row>
        <row r="427">
          <cell r="A427" t="str">
            <v>KBM-14H02-B (240 V)</v>
          </cell>
          <cell r="B427">
            <v>6.83</v>
          </cell>
          <cell r="C427">
            <v>8.57</v>
          </cell>
          <cell r="D427">
            <v>2.08</v>
          </cell>
          <cell r="E427">
            <v>2.42</v>
          </cell>
          <cell r="J427">
            <v>1.7941102675813656</v>
          </cell>
          <cell r="K427">
            <v>3300</v>
          </cell>
          <cell r="P427">
            <v>4489</v>
          </cell>
          <cell r="Q427">
            <v>4.8800000000000003E-2</v>
          </cell>
          <cell r="R427">
            <v>10.3</v>
          </cell>
          <cell r="S427">
            <v>20</v>
          </cell>
          <cell r="T427">
            <v>53.4</v>
          </cell>
          <cell r="U427">
            <v>8</v>
          </cell>
        </row>
        <row r="428">
          <cell r="A428" t="str">
            <v>KBM-14H02-B (400 V)</v>
          </cell>
          <cell r="B428">
            <v>6.83</v>
          </cell>
          <cell r="C428">
            <v>8.57</v>
          </cell>
          <cell r="D428">
            <v>2.08</v>
          </cell>
          <cell r="E428">
            <v>2.42</v>
          </cell>
          <cell r="L428">
            <v>1.382510102678852</v>
          </cell>
          <cell r="M428">
            <v>6700</v>
          </cell>
          <cell r="P428">
            <v>7505</v>
          </cell>
          <cell r="Q428">
            <v>4.8800000000000003E-2</v>
          </cell>
          <cell r="R428">
            <v>10.3</v>
          </cell>
          <cell r="S428">
            <v>20</v>
          </cell>
          <cell r="T428">
            <v>53.4</v>
          </cell>
          <cell r="U428">
            <v>8</v>
          </cell>
        </row>
        <row r="429">
          <cell r="A429" t="str">
            <v>KBM-14H02-B (480 V)</v>
          </cell>
          <cell r="B429">
            <v>6.83</v>
          </cell>
          <cell r="C429">
            <v>8.57</v>
          </cell>
          <cell r="D429">
            <v>2.08</v>
          </cell>
          <cell r="E429">
            <v>2.42</v>
          </cell>
          <cell r="N429">
            <v>1.2401683877290546</v>
          </cell>
          <cell r="O429">
            <v>7700</v>
          </cell>
          <cell r="P429">
            <v>9016</v>
          </cell>
          <cell r="Q429">
            <v>4.8800000000000003E-2</v>
          </cell>
          <cell r="R429">
            <v>10.3</v>
          </cell>
          <cell r="S429">
            <v>20</v>
          </cell>
          <cell r="T429">
            <v>53.4</v>
          </cell>
          <cell r="U429">
            <v>8</v>
          </cell>
        </row>
        <row r="430">
          <cell r="A430" t="str">
            <v>KBM-14H02-C (120 V)</v>
          </cell>
          <cell r="B430">
            <v>6.98</v>
          </cell>
          <cell r="C430">
            <v>10.9</v>
          </cell>
          <cell r="D430">
            <v>2.11</v>
          </cell>
          <cell r="E430">
            <v>3.1</v>
          </cell>
          <cell r="H430">
            <v>1.9098593171027443</v>
          </cell>
          <cell r="I430">
            <v>1800</v>
          </cell>
          <cell r="P430">
            <v>2704</v>
          </cell>
          <cell r="Q430">
            <v>4.8800000000000003E-2</v>
          </cell>
          <cell r="R430">
            <v>6.3</v>
          </cell>
          <cell r="S430">
            <v>12.8</v>
          </cell>
          <cell r="T430">
            <v>42.3</v>
          </cell>
          <cell r="U430">
            <v>8</v>
          </cell>
        </row>
        <row r="431">
          <cell r="A431" t="str">
            <v>KBM-14H02-C (240 V)</v>
          </cell>
          <cell r="B431">
            <v>6.98</v>
          </cell>
          <cell r="C431">
            <v>10.9</v>
          </cell>
          <cell r="D431">
            <v>2.11</v>
          </cell>
          <cell r="E431">
            <v>3.1</v>
          </cell>
          <cell r="J431">
            <v>1.7301078519636623</v>
          </cell>
          <cell r="K431">
            <v>4250</v>
          </cell>
          <cell r="P431">
            <v>5671</v>
          </cell>
          <cell r="Q431">
            <v>4.8800000000000003E-2</v>
          </cell>
          <cell r="R431">
            <v>6.3</v>
          </cell>
          <cell r="S431">
            <v>12.8</v>
          </cell>
          <cell r="T431">
            <v>42.3</v>
          </cell>
          <cell r="U431">
            <v>8</v>
          </cell>
        </row>
        <row r="432">
          <cell r="A432" t="str">
            <v>KBM-14H02-C (400 V)</v>
          </cell>
          <cell r="B432">
            <v>6.98</v>
          </cell>
          <cell r="C432">
            <v>10.9</v>
          </cell>
          <cell r="D432">
            <v>2.11</v>
          </cell>
          <cell r="E432">
            <v>3.1</v>
          </cell>
          <cell r="L432">
            <v>1.2055986939211072</v>
          </cell>
          <cell r="M432">
            <v>8000</v>
          </cell>
          <cell r="P432">
            <v>9481</v>
          </cell>
          <cell r="Q432">
            <v>4.8800000000000003E-2</v>
          </cell>
          <cell r="R432">
            <v>6.3</v>
          </cell>
          <cell r="S432">
            <v>12.8</v>
          </cell>
          <cell r="T432">
            <v>42.3</v>
          </cell>
          <cell r="U432">
            <v>8</v>
          </cell>
        </row>
        <row r="433">
          <cell r="A433" t="str">
            <v>KBM-14H02-C (480 V)</v>
          </cell>
          <cell r="B433">
            <v>6.98</v>
          </cell>
          <cell r="C433">
            <v>10.9</v>
          </cell>
          <cell r="D433">
            <v>2.11</v>
          </cell>
          <cell r="E433">
            <v>3.1</v>
          </cell>
          <cell r="N433">
            <v>0.5496668278490825</v>
          </cell>
          <cell r="O433">
            <v>10250</v>
          </cell>
          <cell r="P433">
            <v>11390</v>
          </cell>
          <cell r="Q433">
            <v>4.8800000000000003E-2</v>
          </cell>
          <cell r="R433">
            <v>6.3</v>
          </cell>
          <cell r="S433">
            <v>12.8</v>
          </cell>
          <cell r="T433">
            <v>42.3</v>
          </cell>
          <cell r="U433">
            <v>8</v>
          </cell>
        </row>
        <row r="434">
          <cell r="A434" t="str">
            <v>KBM-14H02-D (120 V)</v>
          </cell>
          <cell r="B434">
            <v>7.31</v>
          </cell>
          <cell r="C434">
            <v>21.8</v>
          </cell>
          <cell r="D434">
            <v>2.1749999999999998</v>
          </cell>
          <cell r="E434">
            <v>5.97</v>
          </cell>
          <cell r="H434">
            <v>1.8608885653821607</v>
          </cell>
          <cell r="I434">
            <v>3900</v>
          </cell>
          <cell r="P434">
            <v>5084</v>
          </cell>
          <cell r="Q434">
            <v>4.8800000000000003E-2</v>
          </cell>
          <cell r="R434">
            <v>1.69</v>
          </cell>
          <cell r="S434">
            <v>3.6</v>
          </cell>
          <cell r="T434">
            <v>22.6</v>
          </cell>
          <cell r="U434">
            <v>8</v>
          </cell>
        </row>
        <row r="435">
          <cell r="A435" t="str">
            <v>KBM-14H02-D (240 V)</v>
          </cell>
          <cell r="B435">
            <v>7.31</v>
          </cell>
          <cell r="C435">
            <v>21.8</v>
          </cell>
          <cell r="D435">
            <v>2.1749999999999998</v>
          </cell>
          <cell r="E435">
            <v>5.97</v>
          </cell>
          <cell r="J435">
            <v>1.1051433127055206</v>
          </cell>
          <cell r="K435">
            <v>8900</v>
          </cell>
          <cell r="P435">
            <v>10660</v>
          </cell>
          <cell r="Q435">
            <v>4.8800000000000003E-2</v>
          </cell>
          <cell r="R435">
            <v>1.69</v>
          </cell>
          <cell r="S435">
            <v>3.6</v>
          </cell>
          <cell r="T435">
            <v>22.6</v>
          </cell>
          <cell r="U435">
            <v>8</v>
          </cell>
        </row>
        <row r="436">
          <cell r="A436" t="str">
            <v>KBM-14H03-A (120 V)</v>
          </cell>
          <cell r="B436">
            <v>10.4</v>
          </cell>
          <cell r="C436">
            <v>5.9</v>
          </cell>
          <cell r="D436">
            <v>2.82</v>
          </cell>
          <cell r="E436">
            <v>1.64</v>
          </cell>
          <cell r="H436">
            <v>2.5783100780887045</v>
          </cell>
          <cell r="I436">
            <v>500</v>
          </cell>
          <cell r="P436">
            <v>1051</v>
          </cell>
          <cell r="Q436">
            <v>7.3099999999999998E-2</v>
          </cell>
          <cell r="R436">
            <v>26.6</v>
          </cell>
          <cell r="S436">
            <v>54</v>
          </cell>
          <cell r="T436">
            <v>108</v>
          </cell>
          <cell r="U436">
            <v>8</v>
          </cell>
        </row>
        <row r="437">
          <cell r="A437" t="str">
            <v>KBM-14H03-A (240 V)</v>
          </cell>
          <cell r="B437">
            <v>10.4</v>
          </cell>
          <cell r="C437">
            <v>5.9</v>
          </cell>
          <cell r="D437">
            <v>2.82</v>
          </cell>
          <cell r="E437">
            <v>1.64</v>
          </cell>
          <cell r="J437">
            <v>2.5464790894703255</v>
          </cell>
          <cell r="K437">
            <v>1500</v>
          </cell>
          <cell r="P437">
            <v>2217</v>
          </cell>
          <cell r="Q437">
            <v>7.3099999999999998E-2</v>
          </cell>
          <cell r="R437">
            <v>26.6</v>
          </cell>
          <cell r="S437">
            <v>54</v>
          </cell>
          <cell r="T437">
            <v>108</v>
          </cell>
          <cell r="U437">
            <v>8</v>
          </cell>
        </row>
        <row r="438">
          <cell r="A438" t="str">
            <v>KBM-14H03-A (400 V)</v>
          </cell>
          <cell r="B438">
            <v>10.4</v>
          </cell>
          <cell r="C438">
            <v>5.9</v>
          </cell>
          <cell r="D438">
            <v>2.82</v>
          </cell>
          <cell r="E438">
            <v>1.64</v>
          </cell>
          <cell r="L438">
            <v>2.4124538742350454</v>
          </cell>
          <cell r="M438">
            <v>2850</v>
          </cell>
          <cell r="P438">
            <v>3710</v>
          </cell>
          <cell r="Q438">
            <v>7.3099999999999998E-2</v>
          </cell>
          <cell r="R438">
            <v>26.6</v>
          </cell>
          <cell r="S438">
            <v>54</v>
          </cell>
          <cell r="T438">
            <v>108</v>
          </cell>
          <cell r="U438">
            <v>8</v>
          </cell>
        </row>
        <row r="439">
          <cell r="A439" t="str">
            <v>KBM-14H03-A (480 V)</v>
          </cell>
          <cell r="B439">
            <v>10.4</v>
          </cell>
          <cell r="C439">
            <v>5.9</v>
          </cell>
          <cell r="D439">
            <v>2.82</v>
          </cell>
          <cell r="E439">
            <v>1.64</v>
          </cell>
          <cell r="N439">
            <v>2.3210095867568072</v>
          </cell>
          <cell r="O439">
            <v>3600</v>
          </cell>
          <cell r="P439">
            <v>4458</v>
          </cell>
          <cell r="Q439">
            <v>7.3099999999999998E-2</v>
          </cell>
          <cell r="R439">
            <v>26.6</v>
          </cell>
          <cell r="S439">
            <v>54</v>
          </cell>
          <cell r="T439">
            <v>108</v>
          </cell>
          <cell r="U439">
            <v>8</v>
          </cell>
        </row>
        <row r="440">
          <cell r="A440" t="str">
            <v>KBM-14H03-B (120 V)</v>
          </cell>
          <cell r="B440">
            <v>10.4</v>
          </cell>
          <cell r="C440">
            <v>10.3</v>
          </cell>
          <cell r="D440">
            <v>2.87</v>
          </cell>
          <cell r="E440">
            <v>2.81</v>
          </cell>
          <cell r="H440">
            <v>2.6571955716212092</v>
          </cell>
          <cell r="I440">
            <v>1150</v>
          </cell>
          <cell r="P440">
            <v>1789</v>
          </cell>
          <cell r="Q440">
            <v>7.3099999999999998E-2</v>
          </cell>
          <cell r="R440">
            <v>9.01</v>
          </cell>
          <cell r="S440">
            <v>19</v>
          </cell>
          <cell r="T440">
            <v>63.7</v>
          </cell>
          <cell r="U440">
            <v>8</v>
          </cell>
        </row>
        <row r="441">
          <cell r="A441" t="str">
            <v>KBM-14H03-B (240 V)</v>
          </cell>
          <cell r="B441">
            <v>10.4</v>
          </cell>
          <cell r="C441">
            <v>10.3</v>
          </cell>
          <cell r="D441">
            <v>2.87</v>
          </cell>
          <cell r="E441">
            <v>2.81</v>
          </cell>
          <cell r="J441">
            <v>2.4794664818526857</v>
          </cell>
          <cell r="K441">
            <v>2850</v>
          </cell>
          <cell r="P441">
            <v>3757</v>
          </cell>
          <cell r="Q441">
            <v>7.3099999999999998E-2</v>
          </cell>
          <cell r="R441">
            <v>9.01</v>
          </cell>
          <cell r="S441">
            <v>19</v>
          </cell>
          <cell r="T441">
            <v>63.7</v>
          </cell>
          <cell r="U441">
            <v>8</v>
          </cell>
        </row>
        <row r="442">
          <cell r="A442" t="str">
            <v>KBM-14H03-B (400 V)</v>
          </cell>
          <cell r="B442">
            <v>10.4</v>
          </cell>
          <cell r="C442">
            <v>10.3</v>
          </cell>
          <cell r="D442">
            <v>2.87</v>
          </cell>
          <cell r="E442">
            <v>2.81</v>
          </cell>
          <cell r="L442">
            <v>1.961016263096568</v>
          </cell>
          <cell r="M442">
            <v>5600</v>
          </cell>
          <cell r="P442">
            <v>6283</v>
          </cell>
          <cell r="Q442">
            <v>7.3099999999999998E-2</v>
          </cell>
          <cell r="R442">
            <v>9.01</v>
          </cell>
          <cell r="S442">
            <v>19</v>
          </cell>
          <cell r="T442">
            <v>63.7</v>
          </cell>
          <cell r="U442">
            <v>8</v>
          </cell>
        </row>
        <row r="443">
          <cell r="A443" t="str">
            <v>KBM-14H03-B (480 V)</v>
          </cell>
          <cell r="B443">
            <v>10.4</v>
          </cell>
          <cell r="C443">
            <v>10.3</v>
          </cell>
          <cell r="D443">
            <v>2.87</v>
          </cell>
          <cell r="E443">
            <v>2.81</v>
          </cell>
          <cell r="N443">
            <v>1.7923295129733443</v>
          </cell>
          <cell r="O443">
            <v>6500</v>
          </cell>
          <cell r="P443">
            <v>7549</v>
          </cell>
          <cell r="Q443">
            <v>7.3099999999999998E-2</v>
          </cell>
          <cell r="R443">
            <v>9.01</v>
          </cell>
          <cell r="S443">
            <v>19</v>
          </cell>
          <cell r="T443">
            <v>63.7</v>
          </cell>
          <cell r="U443">
            <v>8</v>
          </cell>
        </row>
        <row r="444">
          <cell r="A444" t="str">
            <v>KBM-14H03-C (120 V)</v>
          </cell>
          <cell r="B444">
            <v>10.4</v>
          </cell>
          <cell r="C444">
            <v>22.5</v>
          </cell>
          <cell r="D444">
            <v>2.92</v>
          </cell>
          <cell r="E444">
            <v>6.04</v>
          </cell>
          <cell r="H444">
            <v>2.4828171122335672</v>
          </cell>
          <cell r="I444">
            <v>3000</v>
          </cell>
          <cell r="P444">
            <v>3806</v>
          </cell>
          <cell r="Q444">
            <v>7.3099999999999998E-2</v>
          </cell>
          <cell r="R444">
            <v>1.96</v>
          </cell>
          <cell r="S444">
            <v>4.0999999999999996</v>
          </cell>
          <cell r="T444">
            <v>30</v>
          </cell>
          <cell r="U444">
            <v>8</v>
          </cell>
        </row>
        <row r="445">
          <cell r="A445" t="str">
            <v>KBM-14H03-C (240 V)</v>
          </cell>
          <cell r="B445">
            <v>10.4</v>
          </cell>
          <cell r="C445">
            <v>22.5</v>
          </cell>
          <cell r="D445">
            <v>2.92</v>
          </cell>
          <cell r="E445">
            <v>6.04</v>
          </cell>
          <cell r="J445">
            <v>1.7796416363911933</v>
          </cell>
          <cell r="K445">
            <v>6600</v>
          </cell>
          <cell r="P445">
            <v>7980</v>
          </cell>
          <cell r="Q445">
            <v>7.3099999999999998E-2</v>
          </cell>
          <cell r="R445">
            <v>1.96</v>
          </cell>
          <cell r="S445">
            <v>4.0999999999999996</v>
          </cell>
          <cell r="T445">
            <v>30</v>
          </cell>
          <cell r="U445">
            <v>8</v>
          </cell>
        </row>
        <row r="446">
          <cell r="A446" t="str">
            <v>KBM-17H01-A (120 V)</v>
          </cell>
          <cell r="B446">
            <v>5.95</v>
          </cell>
          <cell r="C446">
            <v>5.45</v>
          </cell>
          <cell r="D446">
            <v>2.08</v>
          </cell>
          <cell r="E446">
            <v>1.65</v>
          </cell>
          <cell r="H446">
            <v>1.909859317102744</v>
          </cell>
          <cell r="I446">
            <v>750</v>
          </cell>
          <cell r="P446">
            <v>1460</v>
          </cell>
          <cell r="Q446">
            <v>5.1199999999999996E-2</v>
          </cell>
          <cell r="R446">
            <v>21.3</v>
          </cell>
          <cell r="S446">
            <v>66</v>
          </cell>
          <cell r="T446">
            <v>77.900000000000006</v>
          </cell>
          <cell r="U446">
            <v>10</v>
          </cell>
        </row>
        <row r="447">
          <cell r="A447" t="str">
            <v>KBM-17H01-A (240 V)</v>
          </cell>
          <cell r="B447">
            <v>5.95</v>
          </cell>
          <cell r="C447">
            <v>5.45</v>
          </cell>
          <cell r="D447">
            <v>2.08</v>
          </cell>
          <cell r="E447">
            <v>1.65</v>
          </cell>
          <cell r="J447">
            <v>1.8853739412424524</v>
          </cell>
          <cell r="K447">
            <v>1950</v>
          </cell>
          <cell r="P447">
            <v>3068</v>
          </cell>
          <cell r="Q447">
            <v>5.1199999999999996E-2</v>
          </cell>
          <cell r="R447">
            <v>21.3</v>
          </cell>
          <cell r="S447">
            <v>66</v>
          </cell>
          <cell r="T447">
            <v>77.900000000000006</v>
          </cell>
          <cell r="U447">
            <v>10</v>
          </cell>
        </row>
        <row r="448">
          <cell r="A448" t="str">
            <v>KBM-17H01-A (400 V)</v>
          </cell>
          <cell r="B448">
            <v>5.95</v>
          </cell>
          <cell r="C448">
            <v>5.45</v>
          </cell>
          <cell r="D448">
            <v>2.08</v>
          </cell>
          <cell r="E448">
            <v>1.65</v>
          </cell>
          <cell r="L448">
            <v>1.7590809499630535</v>
          </cell>
          <cell r="M448">
            <v>3800</v>
          </cell>
          <cell r="P448">
            <v>5132</v>
          </cell>
          <cell r="Q448">
            <v>5.1199999999999996E-2</v>
          </cell>
          <cell r="R448">
            <v>21.3</v>
          </cell>
          <cell r="S448">
            <v>66</v>
          </cell>
          <cell r="T448">
            <v>77.900000000000006</v>
          </cell>
          <cell r="U448">
            <v>10</v>
          </cell>
        </row>
        <row r="449">
          <cell r="A449" t="str">
            <v>KBM-17H01-A (480 V)</v>
          </cell>
          <cell r="B449">
            <v>5.95</v>
          </cell>
          <cell r="C449">
            <v>5.45</v>
          </cell>
          <cell r="D449">
            <v>2.08</v>
          </cell>
          <cell r="E449">
            <v>1.65</v>
          </cell>
          <cell r="N449">
            <v>1.6634258568314222</v>
          </cell>
          <cell r="O449">
            <v>4650</v>
          </cell>
          <cell r="P449">
            <v>6166</v>
          </cell>
          <cell r="Q449">
            <v>5.1199999999999996E-2</v>
          </cell>
          <cell r="R449">
            <v>21.3</v>
          </cell>
          <cell r="S449">
            <v>66</v>
          </cell>
          <cell r="T449">
            <v>77.900000000000006</v>
          </cell>
          <cell r="U449">
            <v>10</v>
          </cell>
        </row>
        <row r="450">
          <cell r="A450" t="str">
            <v>KBM-17H01-B (120 V)</v>
          </cell>
          <cell r="B450">
            <v>6.14</v>
          </cell>
          <cell r="C450">
            <v>10.9</v>
          </cell>
          <cell r="D450">
            <v>2.0699999999999998</v>
          </cell>
          <cell r="E450">
            <v>3.11</v>
          </cell>
          <cell r="H450">
            <v>1.8568076694054458</v>
          </cell>
          <cell r="I450">
            <v>1800</v>
          </cell>
          <cell r="P450">
            <v>2782</v>
          </cell>
          <cell r="Q450">
            <v>5.1199999999999996E-2</v>
          </cell>
          <cell r="R450">
            <v>6.02</v>
          </cell>
          <cell r="S450">
            <v>18</v>
          </cell>
          <cell r="T450">
            <v>41.2</v>
          </cell>
          <cell r="U450">
            <v>10</v>
          </cell>
        </row>
        <row r="451">
          <cell r="A451" t="str">
            <v>KBM-17H01-B (240 V)</v>
          </cell>
          <cell r="B451">
            <v>6.14</v>
          </cell>
          <cell r="C451">
            <v>10.9</v>
          </cell>
          <cell r="D451">
            <v>2.0699999999999998</v>
          </cell>
          <cell r="E451">
            <v>3.11</v>
          </cell>
          <cell r="J451">
            <v>1.7052315331274501</v>
          </cell>
          <cell r="K451">
            <v>4200</v>
          </cell>
          <cell r="P451">
            <v>5838</v>
          </cell>
          <cell r="Q451">
            <v>5.1199999999999996E-2</v>
          </cell>
          <cell r="R451">
            <v>6.02</v>
          </cell>
          <cell r="S451">
            <v>18</v>
          </cell>
          <cell r="T451">
            <v>41.2</v>
          </cell>
          <cell r="U451">
            <v>10</v>
          </cell>
        </row>
        <row r="452">
          <cell r="A452" t="str">
            <v>KBM-17H01-B (400 V)</v>
          </cell>
          <cell r="B452">
            <v>6.14</v>
          </cell>
          <cell r="C452">
            <v>10.9</v>
          </cell>
          <cell r="D452">
            <v>2.0699999999999998</v>
          </cell>
          <cell r="E452">
            <v>3.11</v>
          </cell>
          <cell r="L452">
            <v>1.0653261508694498</v>
          </cell>
          <cell r="M452">
            <v>8650</v>
          </cell>
          <cell r="P452">
            <v>9600</v>
          </cell>
          <cell r="Q452">
            <v>5.1199999999999996E-2</v>
          </cell>
          <cell r="R452">
            <v>6.02</v>
          </cell>
          <cell r="S452">
            <v>18</v>
          </cell>
          <cell r="T452">
            <v>41.2</v>
          </cell>
          <cell r="U452">
            <v>10</v>
          </cell>
        </row>
        <row r="453">
          <cell r="A453" t="str">
            <v>KBM-17H01-B (480 V)</v>
          </cell>
          <cell r="B453">
            <v>6.14</v>
          </cell>
          <cell r="C453">
            <v>10.9</v>
          </cell>
          <cell r="D453">
            <v>2.0699999999999998</v>
          </cell>
          <cell r="E453">
            <v>3.11</v>
          </cell>
          <cell r="N453">
            <v>0.71619724391352901</v>
          </cell>
          <cell r="O453">
            <v>9600</v>
          </cell>
          <cell r="P453">
            <v>9600</v>
          </cell>
          <cell r="Q453">
            <v>5.1199999999999996E-2</v>
          </cell>
          <cell r="R453">
            <v>6.02</v>
          </cell>
          <cell r="S453">
            <v>18</v>
          </cell>
          <cell r="T453">
            <v>41.2</v>
          </cell>
          <cell r="U453">
            <v>10</v>
          </cell>
        </row>
        <row r="454">
          <cell r="A454" t="str">
            <v>KBM-17H01-C (120 V)</v>
          </cell>
          <cell r="B454">
            <v>6.35</v>
          </cell>
          <cell r="C454">
            <v>21.8</v>
          </cell>
          <cell r="D454">
            <v>2.0699999999999998</v>
          </cell>
          <cell r="E454">
            <v>6.1</v>
          </cell>
          <cell r="H454">
            <v>1.7384616860807027</v>
          </cell>
          <cell r="I454">
            <v>3900</v>
          </cell>
          <cell r="P454">
            <v>5468</v>
          </cell>
          <cell r="Q454">
            <v>5.1199999999999996E-2</v>
          </cell>
          <cell r="R454">
            <v>1.56</v>
          </cell>
          <cell r="S454">
            <v>5</v>
          </cell>
          <cell r="T454">
            <v>21.5</v>
          </cell>
          <cell r="U454">
            <v>10</v>
          </cell>
        </row>
        <row r="455">
          <cell r="A455" t="str">
            <v>KBM-17H01-C (240 V)</v>
          </cell>
          <cell r="B455">
            <v>6.35</v>
          </cell>
          <cell r="C455">
            <v>21.8</v>
          </cell>
          <cell r="D455">
            <v>2.0699999999999998</v>
          </cell>
          <cell r="E455">
            <v>6.1</v>
          </cell>
          <cell r="J455">
            <v>0.90187801085407349</v>
          </cell>
          <cell r="K455">
            <v>9000</v>
          </cell>
          <cell r="P455">
            <v>9600</v>
          </cell>
          <cell r="Q455">
            <v>5.1199999999999996E-2</v>
          </cell>
          <cell r="R455">
            <v>1.56</v>
          </cell>
          <cell r="S455">
            <v>5</v>
          </cell>
          <cell r="T455">
            <v>21.5</v>
          </cell>
          <cell r="U455">
            <v>10</v>
          </cell>
        </row>
        <row r="456">
          <cell r="A456" t="str">
            <v>KBM-17H02-A (120 V)</v>
          </cell>
          <cell r="B456">
            <v>12.2</v>
          </cell>
          <cell r="C456">
            <v>6.08</v>
          </cell>
          <cell r="D456">
            <v>3.58</v>
          </cell>
          <cell r="E456">
            <v>1.59</v>
          </cell>
          <cell r="H456">
            <v>3.3104228163114229</v>
          </cell>
          <cell r="I456">
            <v>375</v>
          </cell>
          <cell r="P456">
            <v>812</v>
          </cell>
          <cell r="Q456">
            <v>9.5399999999999999E-2</v>
          </cell>
          <cell r="R456">
            <v>27.5</v>
          </cell>
          <cell r="S456">
            <v>97</v>
          </cell>
          <cell r="T456">
            <v>140</v>
          </cell>
          <cell r="U456">
            <v>10</v>
          </cell>
        </row>
        <row r="457">
          <cell r="A457" t="str">
            <v>KBM-17H02-A (240 V)</v>
          </cell>
          <cell r="B457">
            <v>12.2</v>
          </cell>
          <cell r="C457">
            <v>6.08</v>
          </cell>
          <cell r="D457">
            <v>3.58</v>
          </cell>
          <cell r="E457">
            <v>1.59</v>
          </cell>
          <cell r="J457">
            <v>3.2293984816464585</v>
          </cell>
          <cell r="K457">
            <v>1100</v>
          </cell>
          <cell r="P457">
            <v>1710</v>
          </cell>
          <cell r="Q457">
            <v>9.5399999999999999E-2</v>
          </cell>
          <cell r="R457">
            <v>27.5</v>
          </cell>
          <cell r="S457">
            <v>97</v>
          </cell>
          <cell r="T457">
            <v>140</v>
          </cell>
          <cell r="U457">
            <v>10</v>
          </cell>
        </row>
        <row r="458">
          <cell r="A458" t="str">
            <v>KBM-17H02-A (400 V)</v>
          </cell>
          <cell r="B458">
            <v>12.2</v>
          </cell>
          <cell r="C458">
            <v>6.08</v>
          </cell>
          <cell r="D458">
            <v>3.58</v>
          </cell>
          <cell r="E458">
            <v>1.59</v>
          </cell>
          <cell r="L458">
            <v>3.1376260209545084</v>
          </cell>
          <cell r="M458">
            <v>2100</v>
          </cell>
          <cell r="P458">
            <v>2861</v>
          </cell>
          <cell r="Q458">
            <v>9.5399999999999999E-2</v>
          </cell>
          <cell r="R458">
            <v>27.5</v>
          </cell>
          <cell r="S458">
            <v>97</v>
          </cell>
          <cell r="T458">
            <v>140</v>
          </cell>
          <cell r="U458">
            <v>10</v>
          </cell>
        </row>
        <row r="459">
          <cell r="A459" t="str">
            <v>KBM-17H02-A (480 V)</v>
          </cell>
          <cell r="B459">
            <v>12.2</v>
          </cell>
          <cell r="C459">
            <v>6.08</v>
          </cell>
          <cell r="D459">
            <v>3.58</v>
          </cell>
          <cell r="E459">
            <v>1.59</v>
          </cell>
          <cell r="N459">
            <v>3.0667933265015219</v>
          </cell>
          <cell r="O459">
            <v>2600</v>
          </cell>
          <cell r="P459">
            <v>3438</v>
          </cell>
          <cell r="Q459">
            <v>9.5399999999999999E-2</v>
          </cell>
          <cell r="R459">
            <v>27.5</v>
          </cell>
          <cell r="S459">
            <v>97</v>
          </cell>
          <cell r="T459">
            <v>140</v>
          </cell>
          <cell r="U459">
            <v>10</v>
          </cell>
        </row>
        <row r="460">
          <cell r="A460" t="str">
            <v>KBM-17H02-B (120 V)</v>
          </cell>
          <cell r="B460">
            <v>12.3</v>
          </cell>
          <cell r="C460">
            <v>12.2</v>
          </cell>
          <cell r="D460">
            <v>3.52</v>
          </cell>
          <cell r="E460">
            <v>2.99</v>
          </cell>
          <cell r="H460">
            <v>3.246760839074665</v>
          </cell>
          <cell r="I460">
            <v>1000</v>
          </cell>
          <cell r="P460">
            <v>1565</v>
          </cell>
          <cell r="Q460">
            <v>9.5399999999999999E-2</v>
          </cell>
          <cell r="R460">
            <v>7.78</v>
          </cell>
          <cell r="S460">
            <v>27</v>
          </cell>
          <cell r="T460">
            <v>72.8</v>
          </cell>
          <cell r="U460">
            <v>10</v>
          </cell>
        </row>
        <row r="461">
          <cell r="A461" t="str">
            <v>KBM-17H02-B (240 V)</v>
          </cell>
          <cell r="B461">
            <v>12.3</v>
          </cell>
          <cell r="C461">
            <v>12.2</v>
          </cell>
          <cell r="D461">
            <v>3.52</v>
          </cell>
          <cell r="E461">
            <v>2.99</v>
          </cell>
          <cell r="J461">
            <v>3.0516230392837325</v>
          </cell>
          <cell r="K461">
            <v>2300</v>
          </cell>
          <cell r="P461">
            <v>3285</v>
          </cell>
          <cell r="Q461">
            <v>9.5399999999999999E-2</v>
          </cell>
          <cell r="R461">
            <v>7.78</v>
          </cell>
          <cell r="S461">
            <v>27</v>
          </cell>
          <cell r="T461">
            <v>72.8</v>
          </cell>
          <cell r="U461">
            <v>10</v>
          </cell>
        </row>
        <row r="462">
          <cell r="A462" t="str">
            <v>KBM-17H02-B (400 V)</v>
          </cell>
          <cell r="B462">
            <v>12.3</v>
          </cell>
          <cell r="C462">
            <v>12.2</v>
          </cell>
          <cell r="D462">
            <v>3.52</v>
          </cell>
          <cell r="E462">
            <v>2.99</v>
          </cell>
          <cell r="L462">
            <v>2.6043536142310146</v>
          </cell>
          <cell r="M462">
            <v>4400</v>
          </cell>
          <cell r="P462">
            <v>5495</v>
          </cell>
          <cell r="Q462">
            <v>9.5399999999999999E-2</v>
          </cell>
          <cell r="R462">
            <v>7.78</v>
          </cell>
          <cell r="S462">
            <v>27</v>
          </cell>
          <cell r="T462">
            <v>72.8</v>
          </cell>
          <cell r="U462">
            <v>10</v>
          </cell>
        </row>
        <row r="463">
          <cell r="A463" t="str">
            <v>KBM-17H02-B (480 V)</v>
          </cell>
          <cell r="B463">
            <v>12.3</v>
          </cell>
          <cell r="C463">
            <v>12.2</v>
          </cell>
          <cell r="D463">
            <v>3.52</v>
          </cell>
          <cell r="E463">
            <v>2.99</v>
          </cell>
          <cell r="N463">
            <v>2.2252489291013626</v>
          </cell>
          <cell r="O463">
            <v>5450</v>
          </cell>
          <cell r="P463">
            <v>6602</v>
          </cell>
          <cell r="Q463">
            <v>9.5399999999999999E-2</v>
          </cell>
          <cell r="R463">
            <v>7.78</v>
          </cell>
          <cell r="S463">
            <v>27</v>
          </cell>
          <cell r="T463">
            <v>72.8</v>
          </cell>
          <cell r="U463">
            <v>10</v>
          </cell>
        </row>
        <row r="464">
          <cell r="A464" t="str">
            <v>KBM-17H02-C (120 V)</v>
          </cell>
          <cell r="B464">
            <v>12.7</v>
          </cell>
          <cell r="C464">
            <v>21.9</v>
          </cell>
          <cell r="D464">
            <v>3.64</v>
          </cell>
          <cell r="E464">
            <v>5.27</v>
          </cell>
          <cell r="H464">
            <v>3.2166051656467265</v>
          </cell>
          <cell r="I464">
            <v>1900</v>
          </cell>
          <cell r="P464">
            <v>2797</v>
          </cell>
          <cell r="Q464">
            <v>9.5399999999999999E-2</v>
          </cell>
          <cell r="R464">
            <v>2.5099999999999998</v>
          </cell>
          <cell r="S464">
            <v>9.1999999999999993</v>
          </cell>
          <cell r="T464">
            <v>43</v>
          </cell>
          <cell r="U464">
            <v>10</v>
          </cell>
        </row>
        <row r="465">
          <cell r="A465" t="str">
            <v>KBM-17H02-C (240 V)</v>
          </cell>
          <cell r="B465">
            <v>12.7</v>
          </cell>
          <cell r="C465">
            <v>21.9</v>
          </cell>
          <cell r="D465">
            <v>3.64</v>
          </cell>
          <cell r="E465">
            <v>5.27</v>
          </cell>
          <cell r="J465">
            <v>2.6891697281044387</v>
          </cell>
          <cell r="K465">
            <v>4350</v>
          </cell>
          <cell r="P465">
            <v>5622</v>
          </cell>
          <cell r="Q465">
            <v>9.5399999999999999E-2</v>
          </cell>
          <cell r="R465">
            <v>2.5099999999999998</v>
          </cell>
          <cell r="S465">
            <v>9.1999999999999993</v>
          </cell>
          <cell r="T465">
            <v>43</v>
          </cell>
          <cell r="U465">
            <v>10</v>
          </cell>
        </row>
        <row r="466">
          <cell r="A466" t="str">
            <v>KBM-17H02-C (400 V)</v>
          </cell>
          <cell r="B466">
            <v>12.7</v>
          </cell>
          <cell r="C466">
            <v>21.9</v>
          </cell>
          <cell r="D466">
            <v>3.64</v>
          </cell>
          <cell r="E466">
            <v>5.27</v>
          </cell>
          <cell r="L466">
            <v>0.99787623049680418</v>
          </cell>
          <cell r="M466">
            <v>7560</v>
          </cell>
          <cell r="P466">
            <v>9375</v>
          </cell>
          <cell r="Q466">
            <v>9.5399999999999999E-2</v>
          </cell>
          <cell r="R466">
            <v>2.5099999999999998</v>
          </cell>
          <cell r="S466">
            <v>9.1999999999999993</v>
          </cell>
          <cell r="T466">
            <v>43</v>
          </cell>
          <cell r="U466">
            <v>10</v>
          </cell>
        </row>
        <row r="467">
          <cell r="A467" t="str">
            <v>KBM-17H02-D (120 V)</v>
          </cell>
          <cell r="B467">
            <v>12.8</v>
          </cell>
          <cell r="C467">
            <v>24.5</v>
          </cell>
          <cell r="D467">
            <v>3.58</v>
          </cell>
          <cell r="E467">
            <v>6.5</v>
          </cell>
          <cell r="H467">
            <v>3.083627022405472</v>
          </cell>
          <cell r="I467">
            <v>2400</v>
          </cell>
          <cell r="P467">
            <v>3365</v>
          </cell>
          <cell r="Q467">
            <v>9.5399999999999999E-2</v>
          </cell>
          <cell r="R467">
            <v>1.65</v>
          </cell>
          <cell r="S467">
            <v>3.1</v>
          </cell>
          <cell r="T467">
            <v>34.200000000000003</v>
          </cell>
          <cell r="U467">
            <v>10</v>
          </cell>
        </row>
        <row r="468">
          <cell r="A468" t="str">
            <v>KBM-17H02-D (240 V)</v>
          </cell>
          <cell r="B468">
            <v>12.8</v>
          </cell>
          <cell r="C468">
            <v>24.5</v>
          </cell>
          <cell r="D468">
            <v>3.58</v>
          </cell>
          <cell r="E468">
            <v>6.5</v>
          </cell>
          <cell r="J468">
            <v>2.1997486777344109</v>
          </cell>
          <cell r="K468">
            <v>5600</v>
          </cell>
          <cell r="P468">
            <v>7054</v>
          </cell>
          <cell r="Q468">
            <v>9.5399999999999999E-2</v>
          </cell>
          <cell r="R468">
            <v>1.65</v>
          </cell>
          <cell r="S468">
            <v>3.1</v>
          </cell>
          <cell r="T468">
            <v>34.200000000000003</v>
          </cell>
          <cell r="U468">
            <v>10</v>
          </cell>
        </row>
        <row r="469">
          <cell r="A469" t="str">
            <v>KBM-17H02-E (120 V)</v>
          </cell>
          <cell r="B469">
            <v>12.9</v>
          </cell>
          <cell r="C469">
            <v>39</v>
          </cell>
          <cell r="D469">
            <v>3.75</v>
          </cell>
          <cell r="E469">
            <v>9.33</v>
          </cell>
          <cell r="H469">
            <v>3.0012074983043124</v>
          </cell>
          <cell r="I469">
            <v>3500</v>
          </cell>
          <cell r="P469">
            <v>4633</v>
          </cell>
          <cell r="Q469">
            <v>9.5399999999999999E-2</v>
          </cell>
          <cell r="R469">
            <v>0.8</v>
          </cell>
          <cell r="S469">
            <v>3.1</v>
          </cell>
          <cell r="T469">
            <v>24.8</v>
          </cell>
          <cell r="U469">
            <v>10</v>
          </cell>
        </row>
        <row r="470">
          <cell r="A470" t="str">
            <v>KBM-17H02-E (240 V)</v>
          </cell>
          <cell r="B470">
            <v>12.9</v>
          </cell>
          <cell r="C470">
            <v>39</v>
          </cell>
          <cell r="D470">
            <v>3.75</v>
          </cell>
          <cell r="E470">
            <v>9.33</v>
          </cell>
          <cell r="J470">
            <v>1.1013522061959158</v>
          </cell>
          <cell r="K470">
            <v>7500</v>
          </cell>
          <cell r="P470">
            <v>9600</v>
          </cell>
          <cell r="Q470">
            <v>9.5399999999999999E-2</v>
          </cell>
          <cell r="R470">
            <v>0.8</v>
          </cell>
          <cell r="S470">
            <v>3.1</v>
          </cell>
          <cell r="T470">
            <v>24.8</v>
          </cell>
          <cell r="U470">
            <v>10</v>
          </cell>
        </row>
        <row r="471">
          <cell r="A471" t="str">
            <v>KBM-17H03-A (120 V)</v>
          </cell>
          <cell r="B471">
            <v>18.5</v>
          </cell>
          <cell r="C471">
            <v>13.8</v>
          </cell>
          <cell r="D471">
            <v>4.88</v>
          </cell>
          <cell r="E471">
            <v>3</v>
          </cell>
          <cell r="H471">
            <v>4.5018112474564687</v>
          </cell>
          <cell r="I471">
            <v>700</v>
          </cell>
          <cell r="P471">
            <v>1136</v>
          </cell>
          <cell r="Q471">
            <v>0.14200000000000002</v>
          </cell>
          <cell r="R471">
            <v>8.61</v>
          </cell>
          <cell r="S471">
            <v>33</v>
          </cell>
          <cell r="T471">
            <v>100</v>
          </cell>
          <cell r="U471">
            <v>10</v>
          </cell>
        </row>
        <row r="472">
          <cell r="A472" t="str">
            <v>KBM-17H03-A (240 V)</v>
          </cell>
          <cell r="B472">
            <v>18.5</v>
          </cell>
          <cell r="C472">
            <v>13.8</v>
          </cell>
          <cell r="D472">
            <v>4.88</v>
          </cell>
          <cell r="E472">
            <v>3</v>
          </cell>
          <cell r="J472">
            <v>4.2971834634811747</v>
          </cell>
          <cell r="K472">
            <v>1700</v>
          </cell>
          <cell r="P472">
            <v>2389</v>
          </cell>
          <cell r="Q472">
            <v>0.14200000000000002</v>
          </cell>
          <cell r="R472">
            <v>8.61</v>
          </cell>
          <cell r="S472">
            <v>33</v>
          </cell>
          <cell r="T472">
            <v>100</v>
          </cell>
          <cell r="U472">
            <v>10</v>
          </cell>
        </row>
        <row r="473">
          <cell r="A473" t="str">
            <v>KBM-17H03-A (400 V)</v>
          </cell>
          <cell r="B473">
            <v>18.5</v>
          </cell>
          <cell r="C473">
            <v>13.8</v>
          </cell>
          <cell r="D473">
            <v>4.88</v>
          </cell>
          <cell r="E473">
            <v>3</v>
          </cell>
          <cell r="L473">
            <v>3.5950293027816365</v>
          </cell>
          <cell r="M473">
            <v>3400</v>
          </cell>
          <cell r="P473">
            <v>3997</v>
          </cell>
          <cell r="Q473">
            <v>0.14200000000000002</v>
          </cell>
          <cell r="R473">
            <v>8.61</v>
          </cell>
          <cell r="S473">
            <v>33</v>
          </cell>
          <cell r="T473">
            <v>100</v>
          </cell>
          <cell r="U473">
            <v>10</v>
          </cell>
        </row>
        <row r="474">
          <cell r="A474" t="str">
            <v>KBM-17H03-A (480 V)</v>
          </cell>
          <cell r="B474">
            <v>18.5</v>
          </cell>
          <cell r="C474">
            <v>13.8</v>
          </cell>
          <cell r="D474">
            <v>4.88</v>
          </cell>
          <cell r="E474">
            <v>3</v>
          </cell>
          <cell r="N474">
            <v>3.4812625526936092</v>
          </cell>
          <cell r="O474">
            <v>3950</v>
          </cell>
          <cell r="P474">
            <v>4803</v>
          </cell>
          <cell r="Q474">
            <v>0.14200000000000002</v>
          </cell>
          <cell r="R474">
            <v>8.61</v>
          </cell>
          <cell r="S474">
            <v>33</v>
          </cell>
          <cell r="T474">
            <v>100</v>
          </cell>
          <cell r="U474">
            <v>10</v>
          </cell>
        </row>
        <row r="475">
          <cell r="A475" t="str">
            <v>KBM-17H03-B (120 V)</v>
          </cell>
          <cell r="B475">
            <v>18.8</v>
          </cell>
          <cell r="C475">
            <v>24.4</v>
          </cell>
          <cell r="D475">
            <v>4.8899999999999997</v>
          </cell>
          <cell r="E475">
            <v>5.32</v>
          </cell>
          <cell r="H475">
            <v>4.3653927248062727</v>
          </cell>
          <cell r="I475">
            <v>1400</v>
          </cell>
          <cell r="P475">
            <v>1998</v>
          </cell>
          <cell r="Q475">
            <v>0.14200000000000002</v>
          </cell>
          <cell r="R475">
            <v>2.81</v>
          </cell>
          <cell r="S475">
            <v>11</v>
          </cell>
          <cell r="T475">
            <v>57</v>
          </cell>
          <cell r="U475">
            <v>10</v>
          </cell>
        </row>
        <row r="476">
          <cell r="A476" t="str">
            <v>KBM-17H03-B (240 V)</v>
          </cell>
          <cell r="B476">
            <v>18.8</v>
          </cell>
          <cell r="C476">
            <v>24.4</v>
          </cell>
          <cell r="D476">
            <v>4.8899999999999997</v>
          </cell>
          <cell r="E476">
            <v>5.32</v>
          </cell>
          <cell r="J476">
            <v>3.8500338614610872</v>
          </cell>
          <cell r="K476">
            <v>3150</v>
          </cell>
          <cell r="P476">
            <v>4194</v>
          </cell>
          <cell r="Q476">
            <v>0.14200000000000002</v>
          </cell>
          <cell r="R476">
            <v>2.81</v>
          </cell>
          <cell r="S476">
            <v>11</v>
          </cell>
          <cell r="T476">
            <v>57</v>
          </cell>
          <cell r="U476">
            <v>10</v>
          </cell>
        </row>
        <row r="477">
          <cell r="A477" t="str">
            <v>KBM-17H03-B (400 V)</v>
          </cell>
          <cell r="B477">
            <v>18.8</v>
          </cell>
          <cell r="C477">
            <v>24.4</v>
          </cell>
          <cell r="D477">
            <v>4.8899999999999997</v>
          </cell>
          <cell r="E477">
            <v>5.32</v>
          </cell>
          <cell r="L477">
            <v>1.8011681364546206</v>
          </cell>
          <cell r="M477">
            <v>6150</v>
          </cell>
          <cell r="P477">
            <v>7006</v>
          </cell>
          <cell r="Q477">
            <v>0.14200000000000002</v>
          </cell>
          <cell r="R477">
            <v>2.81</v>
          </cell>
          <cell r="S477">
            <v>11</v>
          </cell>
          <cell r="T477">
            <v>57</v>
          </cell>
          <cell r="U477">
            <v>10</v>
          </cell>
        </row>
        <row r="478">
          <cell r="A478" t="str">
            <v>KBM-17H03-C (120 V)</v>
          </cell>
          <cell r="B478">
            <v>18.8</v>
          </cell>
          <cell r="C478">
            <v>27.2</v>
          </cell>
          <cell r="D478">
            <v>5.05</v>
          </cell>
          <cell r="E478">
            <v>6.14</v>
          </cell>
          <cell r="H478">
            <v>4.4762327744595565</v>
          </cell>
          <cell r="I478">
            <v>1600</v>
          </cell>
          <cell r="P478">
            <v>2239</v>
          </cell>
          <cell r="Q478">
            <v>0.14200000000000002</v>
          </cell>
          <cell r="R478">
            <v>2.1</v>
          </cell>
          <cell r="S478">
            <v>8.8000000000000007</v>
          </cell>
          <cell r="T478">
            <v>51.34</v>
          </cell>
          <cell r="U478">
            <v>10</v>
          </cell>
        </row>
        <row r="479">
          <cell r="A479" t="str">
            <v>KBM-17H03-C (240 V)</v>
          </cell>
          <cell r="B479">
            <v>18.8</v>
          </cell>
          <cell r="C479">
            <v>27.2</v>
          </cell>
          <cell r="D479">
            <v>5.05</v>
          </cell>
          <cell r="E479">
            <v>6.14</v>
          </cell>
          <cell r="J479">
            <v>3.8063629746453294</v>
          </cell>
          <cell r="K479">
            <v>3575</v>
          </cell>
          <cell r="P479">
            <v>4700</v>
          </cell>
          <cell r="Q479">
            <v>0.14200000000000002</v>
          </cell>
          <cell r="R479">
            <v>2.1</v>
          </cell>
          <cell r="S479">
            <v>8.8000000000000007</v>
          </cell>
          <cell r="T479">
            <v>51.34</v>
          </cell>
          <cell r="U479">
            <v>10</v>
          </cell>
        </row>
        <row r="480">
          <cell r="A480" t="str">
            <v>KBM-17H03-C (400 V)</v>
          </cell>
          <cell r="B480">
            <v>18.8</v>
          </cell>
          <cell r="C480">
            <v>27.2</v>
          </cell>
          <cell r="D480">
            <v>5.05</v>
          </cell>
          <cell r="E480">
            <v>6.14</v>
          </cell>
          <cell r="L480">
            <v>1.429447174066097</v>
          </cell>
          <cell r="M480">
            <v>6480</v>
          </cell>
          <cell r="P480">
            <v>7200</v>
          </cell>
          <cell r="Q480">
            <v>0.14200000000000002</v>
          </cell>
          <cell r="R480">
            <v>2.1</v>
          </cell>
          <cell r="S480">
            <v>8.8000000000000007</v>
          </cell>
          <cell r="T480">
            <v>51.34</v>
          </cell>
          <cell r="U480">
            <v>10</v>
          </cell>
        </row>
        <row r="481">
          <cell r="A481" t="str">
            <v>KBM-17H03-D (120 V)</v>
          </cell>
          <cell r="B481">
            <v>19</v>
          </cell>
          <cell r="C481">
            <v>48</v>
          </cell>
          <cell r="D481">
            <v>5</v>
          </cell>
          <cell r="E481">
            <v>10.38</v>
          </cell>
          <cell r="H481">
            <v>4.0139416156057672</v>
          </cell>
          <cell r="I481">
            <v>2950</v>
          </cell>
          <cell r="P481">
            <v>3838</v>
          </cell>
          <cell r="Q481">
            <v>0.14200000000000002</v>
          </cell>
          <cell r="R481">
            <v>0.74</v>
          </cell>
          <cell r="S481">
            <v>2.9</v>
          </cell>
          <cell r="T481">
            <v>30</v>
          </cell>
          <cell r="U481">
            <v>10</v>
          </cell>
        </row>
        <row r="482">
          <cell r="A482" t="str">
            <v>KBM-17H03-D (240 V)</v>
          </cell>
          <cell r="B482">
            <v>19</v>
          </cell>
          <cell r="C482">
            <v>48</v>
          </cell>
          <cell r="D482">
            <v>5</v>
          </cell>
          <cell r="E482">
            <v>10.38</v>
          </cell>
          <cell r="J482">
            <v>1.4103576495527956</v>
          </cell>
          <cell r="K482">
            <v>6500</v>
          </cell>
          <cell r="P482">
            <v>8030</v>
          </cell>
          <cell r="Q482">
            <v>0.14200000000000002</v>
          </cell>
          <cell r="R482">
            <v>0.74</v>
          </cell>
          <cell r="S482">
            <v>2.9</v>
          </cell>
          <cell r="T482">
            <v>30</v>
          </cell>
          <cell r="U482">
            <v>10</v>
          </cell>
        </row>
        <row r="483">
          <cell r="A483" t="str">
            <v>KBM-17H04-A (120 V)</v>
          </cell>
          <cell r="B483">
            <v>23.7</v>
          </cell>
          <cell r="C483">
            <v>14.5</v>
          </cell>
          <cell r="D483">
            <v>5.98</v>
          </cell>
          <cell r="E483">
            <v>3.15</v>
          </cell>
          <cell r="H483">
            <v>5.4908455366703892</v>
          </cell>
          <cell r="I483">
            <v>600</v>
          </cell>
          <cell r="P483">
            <v>960</v>
          </cell>
          <cell r="Q483">
            <v>0.20300000000000001</v>
          </cell>
          <cell r="R483">
            <v>8.64</v>
          </cell>
          <cell r="S483">
            <v>34</v>
          </cell>
          <cell r="T483">
            <v>118</v>
          </cell>
          <cell r="U483">
            <v>10</v>
          </cell>
        </row>
        <row r="484">
          <cell r="A484" t="str">
            <v>KBM-17H04-A (240 V)</v>
          </cell>
          <cell r="B484">
            <v>23.7</v>
          </cell>
          <cell r="C484">
            <v>14.5</v>
          </cell>
          <cell r="D484">
            <v>5.98</v>
          </cell>
          <cell r="E484">
            <v>3.15</v>
          </cell>
          <cell r="J484">
            <v>5.2862177526950962</v>
          </cell>
          <cell r="K484">
            <v>1400</v>
          </cell>
          <cell r="P484">
            <v>2018</v>
          </cell>
          <cell r="Q484">
            <v>0.20300000000000001</v>
          </cell>
          <cell r="R484">
            <v>8.64</v>
          </cell>
          <cell r="S484">
            <v>34</v>
          </cell>
          <cell r="T484">
            <v>118</v>
          </cell>
          <cell r="U484">
            <v>10</v>
          </cell>
        </row>
        <row r="485">
          <cell r="A485" t="str">
            <v>KBM-17H04-A (400 V)</v>
          </cell>
          <cell r="B485">
            <v>23.7</v>
          </cell>
          <cell r="C485">
            <v>14.5</v>
          </cell>
          <cell r="D485">
            <v>5.98</v>
          </cell>
          <cell r="E485">
            <v>3.15</v>
          </cell>
          <cell r="L485">
            <v>4.703912762493796</v>
          </cell>
          <cell r="M485">
            <v>2700</v>
          </cell>
          <cell r="P485">
            <v>3377</v>
          </cell>
          <cell r="Q485">
            <v>0.20300000000000001</v>
          </cell>
          <cell r="R485">
            <v>8.64</v>
          </cell>
          <cell r="S485">
            <v>34</v>
          </cell>
          <cell r="T485">
            <v>118</v>
          </cell>
          <cell r="U485">
            <v>10</v>
          </cell>
        </row>
        <row r="486">
          <cell r="A486" t="str">
            <v>KBM-17H04-A (480 V)</v>
          </cell>
          <cell r="B486">
            <v>23.7</v>
          </cell>
          <cell r="C486">
            <v>14.5</v>
          </cell>
          <cell r="D486">
            <v>5.98</v>
          </cell>
          <cell r="E486">
            <v>3.15</v>
          </cell>
          <cell r="N486">
            <v>4.332815167158464</v>
          </cell>
          <cell r="O486">
            <v>3350</v>
          </cell>
          <cell r="P486">
            <v>4058</v>
          </cell>
          <cell r="Q486">
            <v>0.20300000000000001</v>
          </cell>
          <cell r="R486">
            <v>8.64</v>
          </cell>
          <cell r="S486">
            <v>34</v>
          </cell>
          <cell r="T486">
            <v>118</v>
          </cell>
          <cell r="U486">
            <v>10</v>
          </cell>
        </row>
        <row r="487">
          <cell r="A487" t="str">
            <v>KBM-17H04-B (120 V)</v>
          </cell>
          <cell r="B487">
            <v>23.7</v>
          </cell>
          <cell r="C487">
            <v>25</v>
          </cell>
          <cell r="D487">
            <v>6.12</v>
          </cell>
          <cell r="E487">
            <v>5.53</v>
          </cell>
          <cell r="H487">
            <v>5.4510568008974154</v>
          </cell>
          <cell r="I487">
            <v>1200</v>
          </cell>
          <cell r="P487">
            <v>1660</v>
          </cell>
          <cell r="Q487">
            <v>0.20300000000000001</v>
          </cell>
          <cell r="R487">
            <v>2.8</v>
          </cell>
          <cell r="S487">
            <v>12</v>
          </cell>
          <cell r="T487">
            <v>69.3</v>
          </cell>
          <cell r="U487">
            <v>10</v>
          </cell>
        </row>
        <row r="488">
          <cell r="A488" t="str">
            <v>KBM-17H04-B (240 V)</v>
          </cell>
          <cell r="B488">
            <v>23.7</v>
          </cell>
          <cell r="C488">
            <v>25</v>
          </cell>
          <cell r="D488">
            <v>6.12</v>
          </cell>
          <cell r="E488">
            <v>5.53</v>
          </cell>
          <cell r="J488">
            <v>4.8647359963937822</v>
          </cell>
          <cell r="K488">
            <v>2650</v>
          </cell>
          <cell r="P488">
            <v>3485</v>
          </cell>
          <cell r="Q488">
            <v>0.20300000000000001</v>
          </cell>
          <cell r="R488">
            <v>2.8</v>
          </cell>
          <cell r="S488">
            <v>12</v>
          </cell>
          <cell r="T488">
            <v>69.3</v>
          </cell>
          <cell r="U488">
            <v>10</v>
          </cell>
        </row>
        <row r="489">
          <cell r="A489" t="str">
            <v>KBM-17H04-B (400 V)</v>
          </cell>
          <cell r="B489">
            <v>23.7</v>
          </cell>
          <cell r="C489">
            <v>25</v>
          </cell>
          <cell r="D489">
            <v>6.12</v>
          </cell>
          <cell r="E489">
            <v>5.53</v>
          </cell>
          <cell r="L489">
            <v>2.902986161996171</v>
          </cell>
          <cell r="M489">
            <v>5000</v>
          </cell>
          <cell r="P489">
            <v>5822</v>
          </cell>
          <cell r="Q489">
            <v>0.20300000000000001</v>
          </cell>
          <cell r="R489">
            <v>2.8</v>
          </cell>
          <cell r="S489">
            <v>12</v>
          </cell>
          <cell r="T489">
            <v>69.3</v>
          </cell>
          <cell r="U489">
            <v>10</v>
          </cell>
        </row>
        <row r="490">
          <cell r="A490" t="str">
            <v>KBM-17H04-B (480 V)</v>
          </cell>
          <cell r="B490">
            <v>23.7</v>
          </cell>
          <cell r="C490">
            <v>25</v>
          </cell>
          <cell r="D490">
            <v>6.12</v>
          </cell>
          <cell r="E490">
            <v>5.53</v>
          </cell>
          <cell r="N490">
            <v>1.8009638297240791</v>
          </cell>
          <cell r="O490">
            <v>5700</v>
          </cell>
          <cell r="P490">
            <v>6987</v>
          </cell>
          <cell r="Q490">
            <v>0.20300000000000001</v>
          </cell>
          <cell r="R490">
            <v>2.8</v>
          </cell>
          <cell r="S490">
            <v>12</v>
          </cell>
          <cell r="T490">
            <v>69.3</v>
          </cell>
          <cell r="U490">
            <v>10</v>
          </cell>
        </row>
        <row r="491">
          <cell r="A491" t="str">
            <v>KBM-17H04-C (120 V)</v>
          </cell>
          <cell r="B491">
            <v>23.7</v>
          </cell>
          <cell r="C491">
            <v>28.1</v>
          </cell>
          <cell r="D491">
            <v>6.1</v>
          </cell>
          <cell r="E491">
            <v>6.2</v>
          </cell>
          <cell r="H491">
            <v>5.4052622182153129</v>
          </cell>
          <cell r="I491">
            <v>1325</v>
          </cell>
          <cell r="P491">
            <v>1868</v>
          </cell>
          <cell r="Q491">
            <v>0.20300000000000001</v>
          </cell>
          <cell r="R491">
            <v>2.23</v>
          </cell>
          <cell r="S491">
            <v>9.1</v>
          </cell>
          <cell r="T491">
            <v>61.4</v>
          </cell>
          <cell r="U491">
            <v>10</v>
          </cell>
        </row>
        <row r="492">
          <cell r="A492" t="str">
            <v>KBM-17H04-C (240 V)</v>
          </cell>
          <cell r="B492">
            <v>23.7</v>
          </cell>
          <cell r="C492">
            <v>28.1</v>
          </cell>
          <cell r="D492">
            <v>6.1</v>
          </cell>
          <cell r="E492">
            <v>6.2</v>
          </cell>
          <cell r="J492">
            <v>4.6473243382833438</v>
          </cell>
          <cell r="K492">
            <v>3000</v>
          </cell>
          <cell r="P492">
            <v>3922</v>
          </cell>
          <cell r="Q492">
            <v>0.20300000000000001</v>
          </cell>
          <cell r="R492">
            <v>2.23</v>
          </cell>
          <cell r="S492">
            <v>9.1</v>
          </cell>
          <cell r="T492">
            <v>61.4</v>
          </cell>
          <cell r="U492">
            <v>10</v>
          </cell>
        </row>
        <row r="493">
          <cell r="A493" t="str">
            <v>KBM-17H04-C (400 V)</v>
          </cell>
          <cell r="B493">
            <v>23.7</v>
          </cell>
          <cell r="C493">
            <v>28.1</v>
          </cell>
          <cell r="D493">
            <v>6.1</v>
          </cell>
          <cell r="E493">
            <v>6.2</v>
          </cell>
          <cell r="L493">
            <v>1.6122189040477708</v>
          </cell>
          <cell r="M493">
            <v>5775</v>
          </cell>
          <cell r="P493">
            <v>6548</v>
          </cell>
          <cell r="Q493">
            <v>0.20300000000000001</v>
          </cell>
          <cell r="R493">
            <v>2.23</v>
          </cell>
          <cell r="S493">
            <v>9.1</v>
          </cell>
          <cell r="T493">
            <v>61.4</v>
          </cell>
          <cell r="U493">
            <v>10</v>
          </cell>
        </row>
        <row r="494">
          <cell r="A494" t="str">
            <v>KBM-17H04-D (120 V)</v>
          </cell>
          <cell r="B494">
            <v>24</v>
          </cell>
          <cell r="C494">
            <v>44</v>
          </cell>
          <cell r="D494">
            <v>6.07</v>
          </cell>
          <cell r="E494">
            <v>9.56</v>
          </cell>
          <cell r="H494">
            <v>5.5993602705966818</v>
          </cell>
          <cell r="I494">
            <v>2200</v>
          </cell>
          <cell r="P494">
            <v>2881</v>
          </cell>
          <cell r="Q494">
            <v>0.20300000000000001</v>
          </cell>
          <cell r="R494">
            <v>0.94</v>
          </cell>
          <cell r="S494">
            <v>3.8</v>
          </cell>
          <cell r="T494">
            <v>40</v>
          </cell>
          <cell r="U494">
            <v>10</v>
          </cell>
        </row>
        <row r="495">
          <cell r="A495" t="str">
            <v>KBM-17H04-D (240 V)</v>
          </cell>
          <cell r="B495">
            <v>24</v>
          </cell>
          <cell r="C495">
            <v>44</v>
          </cell>
          <cell r="D495">
            <v>6.07</v>
          </cell>
          <cell r="E495">
            <v>9.56</v>
          </cell>
          <cell r="J495">
            <v>3.9629580829881941</v>
          </cell>
          <cell r="K495">
            <v>5000</v>
          </cell>
          <cell r="P495">
            <v>6037</v>
          </cell>
          <cell r="Q495">
            <v>0.20300000000000001</v>
          </cell>
          <cell r="R495">
            <v>0.94</v>
          </cell>
          <cell r="S495">
            <v>3.8</v>
          </cell>
          <cell r="T495">
            <v>40</v>
          </cell>
          <cell r="U495">
            <v>10</v>
          </cell>
        </row>
        <row r="496">
          <cell r="A496" t="str">
            <v>KBM-25H01-A (120 V)</v>
          </cell>
          <cell r="B496">
            <v>14.37</v>
          </cell>
          <cell r="C496">
            <v>10.86</v>
          </cell>
          <cell r="D496">
            <v>4.9000000000000004</v>
          </cell>
          <cell r="E496">
            <v>3.1</v>
          </cell>
          <cell r="H496">
            <v>4.4336019861313707</v>
          </cell>
          <cell r="I496">
            <v>700</v>
          </cell>
          <cell r="P496">
            <v>1132</v>
          </cell>
          <cell r="Q496">
            <v>0.26600000000000001</v>
          </cell>
          <cell r="R496">
            <v>8.98</v>
          </cell>
          <cell r="S496">
            <v>37</v>
          </cell>
          <cell r="T496">
            <v>100.3</v>
          </cell>
          <cell r="U496">
            <v>10</v>
          </cell>
        </row>
        <row r="497">
          <cell r="A497" t="str">
            <v>KBM-25H01-A (240 V)</v>
          </cell>
          <cell r="B497">
            <v>14.37</v>
          </cell>
          <cell r="C497">
            <v>10.86</v>
          </cell>
          <cell r="D497">
            <v>4.9000000000000004</v>
          </cell>
          <cell r="E497">
            <v>3.1</v>
          </cell>
          <cell r="J497">
            <v>4.1090912580089336</v>
          </cell>
          <cell r="K497">
            <v>1650</v>
          </cell>
          <cell r="P497">
            <v>2379</v>
          </cell>
          <cell r="Q497">
            <v>0.26600000000000001</v>
          </cell>
          <cell r="R497">
            <v>8.98</v>
          </cell>
          <cell r="S497">
            <v>37</v>
          </cell>
          <cell r="T497">
            <v>100.3</v>
          </cell>
          <cell r="U497">
            <v>10</v>
          </cell>
        </row>
        <row r="498">
          <cell r="A498" t="str">
            <v>KBM-25H01-A (400 V)</v>
          </cell>
          <cell r="B498">
            <v>14.37</v>
          </cell>
          <cell r="C498">
            <v>10.86</v>
          </cell>
          <cell r="D498">
            <v>4.9000000000000004</v>
          </cell>
          <cell r="E498">
            <v>3.1</v>
          </cell>
          <cell r="L498">
            <v>3.304359770860303</v>
          </cell>
          <cell r="M498">
            <v>3150</v>
          </cell>
          <cell r="P498">
            <v>3979</v>
          </cell>
          <cell r="Q498">
            <v>0.26600000000000001</v>
          </cell>
          <cell r="R498">
            <v>8.98</v>
          </cell>
          <cell r="S498">
            <v>37</v>
          </cell>
          <cell r="T498">
            <v>100.3</v>
          </cell>
          <cell r="U498">
            <v>10</v>
          </cell>
        </row>
        <row r="499">
          <cell r="A499" t="str">
            <v>KBM-25H01-A (480 V)</v>
          </cell>
          <cell r="B499">
            <v>14.37</v>
          </cell>
          <cell r="C499">
            <v>10.86</v>
          </cell>
          <cell r="D499">
            <v>4.9000000000000004</v>
          </cell>
          <cell r="E499">
            <v>3.1</v>
          </cell>
          <cell r="N499">
            <v>2.7893997920842706</v>
          </cell>
          <cell r="O499">
            <v>3800</v>
          </cell>
          <cell r="P499">
            <v>4779</v>
          </cell>
          <cell r="Q499">
            <v>0.26600000000000001</v>
          </cell>
          <cell r="R499">
            <v>8.98</v>
          </cell>
          <cell r="S499">
            <v>37</v>
          </cell>
          <cell r="T499">
            <v>100.3</v>
          </cell>
          <cell r="U499">
            <v>10</v>
          </cell>
        </row>
        <row r="500">
          <cell r="A500" t="str">
            <v>KBM-25H01-B (120 V)</v>
          </cell>
          <cell r="B500">
            <v>14.64</v>
          </cell>
          <cell r="C500">
            <v>19.3</v>
          </cell>
          <cell r="D500">
            <v>4.96</v>
          </cell>
          <cell r="E500">
            <v>5.34</v>
          </cell>
          <cell r="H500">
            <v>4.2630788328186258</v>
          </cell>
          <cell r="I500">
            <v>1400</v>
          </cell>
          <cell r="P500">
            <v>1989</v>
          </cell>
          <cell r="Q500">
            <v>0.26600000000000001</v>
          </cell>
          <cell r="R500">
            <v>2.87</v>
          </cell>
          <cell r="S500">
            <v>12</v>
          </cell>
          <cell r="T500">
            <v>57.5</v>
          </cell>
          <cell r="U500">
            <v>10</v>
          </cell>
        </row>
        <row r="501">
          <cell r="A501" t="str">
            <v>KBM-25H01-B (240 V)</v>
          </cell>
          <cell r="B501">
            <v>14.64</v>
          </cell>
          <cell r="C501">
            <v>19.3</v>
          </cell>
          <cell r="D501">
            <v>4.96</v>
          </cell>
          <cell r="E501">
            <v>5.34</v>
          </cell>
          <cell r="J501">
            <v>3.3346749981159021</v>
          </cell>
          <cell r="K501">
            <v>3150</v>
          </cell>
          <cell r="P501">
            <v>4173</v>
          </cell>
          <cell r="Q501">
            <v>0.26600000000000001</v>
          </cell>
          <cell r="R501">
            <v>2.87</v>
          </cell>
          <cell r="S501">
            <v>12</v>
          </cell>
          <cell r="T501">
            <v>57.5</v>
          </cell>
          <cell r="U501">
            <v>10</v>
          </cell>
        </row>
        <row r="502">
          <cell r="A502" t="str">
            <v>KBM-25H01-B (400 V)</v>
          </cell>
          <cell r="B502">
            <v>14.64</v>
          </cell>
          <cell r="C502">
            <v>19.3</v>
          </cell>
          <cell r="D502">
            <v>4.96</v>
          </cell>
          <cell r="E502">
            <v>5.34</v>
          </cell>
          <cell r="L502">
            <v>1.4226503076377583</v>
          </cell>
          <cell r="M502">
            <v>4900</v>
          </cell>
          <cell r="P502">
            <v>6970</v>
          </cell>
          <cell r="Q502">
            <v>0.26600000000000001</v>
          </cell>
          <cell r="R502">
            <v>2.87</v>
          </cell>
          <cell r="S502">
            <v>12</v>
          </cell>
          <cell r="T502">
            <v>57.5</v>
          </cell>
          <cell r="U502">
            <v>10</v>
          </cell>
        </row>
        <row r="503">
          <cell r="A503" t="str">
            <v>KBM-25H01-C (120 V)</v>
          </cell>
          <cell r="B503">
            <v>15.1</v>
          </cell>
          <cell r="C503">
            <v>27.6</v>
          </cell>
          <cell r="D503">
            <v>4.8499999999999996</v>
          </cell>
          <cell r="E503">
            <v>6.45</v>
          </cell>
          <cell r="H503">
            <v>3.9834208613857238</v>
          </cell>
          <cell r="I503">
            <v>1750</v>
          </cell>
          <cell r="P503">
            <v>2470</v>
          </cell>
          <cell r="Q503">
            <v>0.26600000000000001</v>
          </cell>
          <cell r="R503">
            <v>1.97</v>
          </cell>
          <cell r="S503">
            <v>7.9</v>
          </cell>
          <cell r="T503">
            <v>46.3</v>
          </cell>
          <cell r="U503">
            <v>10</v>
          </cell>
        </row>
        <row r="504">
          <cell r="A504" t="str">
            <v>KBM-25H01-C (240 V)</v>
          </cell>
          <cell r="B504">
            <v>15.1</v>
          </cell>
          <cell r="C504">
            <v>27.6</v>
          </cell>
          <cell r="D504">
            <v>4.8499999999999996</v>
          </cell>
          <cell r="E504">
            <v>6.45</v>
          </cell>
          <cell r="J504">
            <v>2.3166932544737429</v>
          </cell>
          <cell r="K504">
            <v>4225</v>
          </cell>
          <cell r="P504">
            <v>5178</v>
          </cell>
          <cell r="Q504">
            <v>0.26600000000000001</v>
          </cell>
          <cell r="R504">
            <v>1.97</v>
          </cell>
          <cell r="S504">
            <v>7.9</v>
          </cell>
          <cell r="T504">
            <v>46.3</v>
          </cell>
          <cell r="U504">
            <v>10</v>
          </cell>
        </row>
        <row r="505">
          <cell r="A505" t="str">
            <v>KBM-25H01-D (120 V)</v>
          </cell>
          <cell r="B505">
            <v>15.2</v>
          </cell>
          <cell r="C505">
            <v>34.299999999999997</v>
          </cell>
          <cell r="D505">
            <v>4.75</v>
          </cell>
          <cell r="E505">
            <v>7.95</v>
          </cell>
          <cell r="H505">
            <v>3.6744032513824534</v>
          </cell>
          <cell r="I505">
            <v>2300</v>
          </cell>
          <cell r="P505">
            <v>3097</v>
          </cell>
          <cell r="Q505">
            <v>0.26600000000000001</v>
          </cell>
          <cell r="R505">
            <v>1.3</v>
          </cell>
          <cell r="S505">
            <v>5.2</v>
          </cell>
          <cell r="T505">
            <v>37.1</v>
          </cell>
          <cell r="U505">
            <v>10</v>
          </cell>
        </row>
        <row r="506">
          <cell r="A506" t="str">
            <v>KBM-25H01-D (240 V)</v>
          </cell>
          <cell r="B506">
            <v>15.2</v>
          </cell>
          <cell r="C506">
            <v>34.299999999999997</v>
          </cell>
          <cell r="D506">
            <v>4.75</v>
          </cell>
          <cell r="E506">
            <v>7.95</v>
          </cell>
          <cell r="J506">
            <v>1.3252085057447611</v>
          </cell>
          <cell r="K506">
            <v>4900</v>
          </cell>
          <cell r="P506">
            <v>6489</v>
          </cell>
          <cell r="Q506">
            <v>0.26600000000000001</v>
          </cell>
          <cell r="R506">
            <v>1.3</v>
          </cell>
          <cell r="S506">
            <v>5.2</v>
          </cell>
          <cell r="T506">
            <v>37.1</v>
          </cell>
          <cell r="U506">
            <v>10</v>
          </cell>
        </row>
        <row r="507">
          <cell r="A507" t="str">
            <v>KBM-25H01-E (120 V)</v>
          </cell>
          <cell r="B507">
            <v>15.32</v>
          </cell>
          <cell r="C507">
            <v>39</v>
          </cell>
          <cell r="D507">
            <v>5.09</v>
          </cell>
          <cell r="E507">
            <v>10.44</v>
          </cell>
          <cell r="H507">
            <v>3.6221469807121007</v>
          </cell>
          <cell r="I507">
            <v>2900</v>
          </cell>
          <cell r="P507">
            <v>3815</v>
          </cell>
          <cell r="Q507">
            <v>0.26600000000000001</v>
          </cell>
          <cell r="R507">
            <v>0.75</v>
          </cell>
          <cell r="S507">
            <v>3.4</v>
          </cell>
          <cell r="T507">
            <v>30</v>
          </cell>
          <cell r="U507">
            <v>10</v>
          </cell>
        </row>
        <row r="508">
          <cell r="A508" t="str">
            <v>KBM-25H01-E (240 V)</v>
          </cell>
          <cell r="B508">
            <v>15.32</v>
          </cell>
          <cell r="C508">
            <v>39</v>
          </cell>
          <cell r="D508">
            <v>5.09</v>
          </cell>
          <cell r="E508">
            <v>10.44</v>
          </cell>
          <cell r="J508">
            <v>1.4421386680163577</v>
          </cell>
          <cell r="K508">
            <v>4900</v>
          </cell>
          <cell r="P508">
            <v>6918</v>
          </cell>
          <cell r="Q508">
            <v>0.26600000000000001</v>
          </cell>
          <cell r="R508">
            <v>0.75</v>
          </cell>
          <cell r="S508">
            <v>3.4</v>
          </cell>
          <cell r="T508">
            <v>30</v>
          </cell>
          <cell r="U508">
            <v>10</v>
          </cell>
        </row>
        <row r="509">
          <cell r="A509" t="str">
            <v>KBM-25H01-F (120 V)</v>
          </cell>
          <cell r="B509">
            <v>15.73</v>
          </cell>
          <cell r="C509">
            <v>43.7</v>
          </cell>
          <cell r="D509">
            <v>4.63</v>
          </cell>
          <cell r="E509">
            <v>12</v>
          </cell>
          <cell r="H509">
            <v>2.4658943081579734</v>
          </cell>
          <cell r="I509">
            <v>3950</v>
          </cell>
          <cell r="P509">
            <v>4765</v>
          </cell>
          <cell r="Q509">
            <v>0.26600000000000001</v>
          </cell>
          <cell r="R509">
            <v>0.56000000000000005</v>
          </cell>
          <cell r="S509">
            <v>2.1</v>
          </cell>
          <cell r="T509">
            <v>23.7</v>
          </cell>
          <cell r="U509">
            <v>10</v>
          </cell>
        </row>
        <row r="510">
          <cell r="A510" t="str">
            <v>KBM-25H02-A (120 V)</v>
          </cell>
          <cell r="B510">
            <v>29.4</v>
          </cell>
          <cell r="C510">
            <v>15</v>
          </cell>
          <cell r="D510">
            <v>8.6999999999999993</v>
          </cell>
          <cell r="E510">
            <v>3.33</v>
          </cell>
          <cell r="H510">
            <v>8.0801740338962258</v>
          </cell>
          <cell r="I510">
            <v>390</v>
          </cell>
          <cell r="P510">
            <v>707</v>
          </cell>
          <cell r="Q510">
            <v>0.51500000000000001</v>
          </cell>
          <cell r="R510">
            <v>8.9600000000000009</v>
          </cell>
          <cell r="S510">
            <v>45</v>
          </cell>
          <cell r="T510">
            <v>162</v>
          </cell>
          <cell r="U510">
            <v>10</v>
          </cell>
        </row>
        <row r="511">
          <cell r="A511" t="str">
            <v>KBM-25H02-A (240 V)</v>
          </cell>
          <cell r="B511">
            <v>29.4</v>
          </cell>
          <cell r="C511">
            <v>15</v>
          </cell>
          <cell r="D511">
            <v>8.6999999999999993</v>
          </cell>
          <cell r="E511">
            <v>3.33</v>
          </cell>
          <cell r="J511">
            <v>8.0691556147590937</v>
          </cell>
          <cell r="K511">
            <v>1000</v>
          </cell>
          <cell r="P511">
            <v>1484</v>
          </cell>
          <cell r="Q511">
            <v>0.51500000000000001</v>
          </cell>
          <cell r="R511">
            <v>8.9600000000000009</v>
          </cell>
          <cell r="S511">
            <v>45</v>
          </cell>
          <cell r="T511">
            <v>162</v>
          </cell>
          <cell r="U511">
            <v>10</v>
          </cell>
        </row>
        <row r="512">
          <cell r="A512" t="str">
            <v>KBM-25H02-A (400 V)</v>
          </cell>
          <cell r="B512">
            <v>29.4</v>
          </cell>
          <cell r="C512">
            <v>15</v>
          </cell>
          <cell r="D512">
            <v>8.6999999999999993</v>
          </cell>
          <cell r="E512">
            <v>3.33</v>
          </cell>
          <cell r="L512">
            <v>7.5170103891095179</v>
          </cell>
          <cell r="M512">
            <v>1950</v>
          </cell>
          <cell r="P512">
            <v>2482</v>
          </cell>
          <cell r="Q512">
            <v>0.51500000000000001</v>
          </cell>
          <cell r="R512">
            <v>8.9600000000000009</v>
          </cell>
          <cell r="S512">
            <v>45</v>
          </cell>
          <cell r="T512">
            <v>162</v>
          </cell>
          <cell r="U512">
            <v>10</v>
          </cell>
        </row>
        <row r="513">
          <cell r="A513" t="str">
            <v>KBM-25H02-A (480 V)</v>
          </cell>
          <cell r="B513">
            <v>29.4</v>
          </cell>
          <cell r="C513">
            <v>15</v>
          </cell>
          <cell r="D513">
            <v>8.6999999999999993</v>
          </cell>
          <cell r="E513">
            <v>3.33</v>
          </cell>
          <cell r="N513">
            <v>7.4404935895461071</v>
          </cell>
          <cell r="O513">
            <v>2400</v>
          </cell>
          <cell r="P513">
            <v>2982</v>
          </cell>
          <cell r="Q513">
            <v>0.51500000000000001</v>
          </cell>
          <cell r="R513">
            <v>8.9600000000000009</v>
          </cell>
          <cell r="S513">
            <v>45</v>
          </cell>
          <cell r="T513">
            <v>162</v>
          </cell>
          <cell r="U513">
            <v>10</v>
          </cell>
        </row>
        <row r="514">
          <cell r="A514" t="str">
            <v>KBM-25H02-B (120 V)</v>
          </cell>
          <cell r="B514">
            <v>29.7</v>
          </cell>
          <cell r="C514">
            <v>23.6</v>
          </cell>
          <cell r="D514">
            <v>8.75</v>
          </cell>
          <cell r="E514">
            <v>5.18</v>
          </cell>
          <cell r="H514">
            <v>8.0214091318315255</v>
          </cell>
          <cell r="I514">
            <v>750</v>
          </cell>
          <cell r="P514">
            <v>1098</v>
          </cell>
          <cell r="Q514">
            <v>0.51500000000000001</v>
          </cell>
          <cell r="R514">
            <v>3.7</v>
          </cell>
          <cell r="S514">
            <v>19</v>
          </cell>
          <cell r="T514">
            <v>104</v>
          </cell>
          <cell r="U514">
            <v>10</v>
          </cell>
        </row>
        <row r="515">
          <cell r="A515" t="str">
            <v>KBM-25H02-B (240 V)</v>
          </cell>
          <cell r="B515">
            <v>29.7</v>
          </cell>
          <cell r="C515">
            <v>23.6</v>
          </cell>
          <cell r="D515">
            <v>8.75</v>
          </cell>
          <cell r="E515">
            <v>5.18</v>
          </cell>
          <cell r="J515">
            <v>7.6956096012669404</v>
          </cell>
          <cell r="K515">
            <v>1700</v>
          </cell>
          <cell r="P515">
            <v>2303</v>
          </cell>
          <cell r="Q515">
            <v>0.51500000000000001</v>
          </cell>
          <cell r="R515">
            <v>3.7</v>
          </cell>
          <cell r="S515">
            <v>19</v>
          </cell>
          <cell r="T515">
            <v>104</v>
          </cell>
          <cell r="U515">
            <v>10</v>
          </cell>
        </row>
        <row r="516">
          <cell r="A516" t="str">
            <v>KBM-25H02-B (400 V)</v>
          </cell>
          <cell r="B516">
            <v>29.7</v>
          </cell>
          <cell r="C516">
            <v>23.6</v>
          </cell>
          <cell r="D516">
            <v>8.75</v>
          </cell>
          <cell r="E516">
            <v>5.18</v>
          </cell>
          <cell r="L516">
            <v>6.7906109052542005</v>
          </cell>
          <cell r="M516">
            <v>3150</v>
          </cell>
          <cell r="P516">
            <v>3845</v>
          </cell>
          <cell r="Q516">
            <v>0.51500000000000001</v>
          </cell>
          <cell r="R516">
            <v>3.7</v>
          </cell>
          <cell r="S516">
            <v>19</v>
          </cell>
          <cell r="T516">
            <v>104</v>
          </cell>
          <cell r="U516">
            <v>10</v>
          </cell>
        </row>
        <row r="517">
          <cell r="A517" t="str">
            <v>KBM-25H02-B (480 V)</v>
          </cell>
          <cell r="B517">
            <v>29.7</v>
          </cell>
          <cell r="C517">
            <v>23.6</v>
          </cell>
          <cell r="D517">
            <v>8.75</v>
          </cell>
          <cell r="E517">
            <v>5.18</v>
          </cell>
          <cell r="N517">
            <v>6.0876765732649973</v>
          </cell>
          <cell r="O517">
            <v>4000</v>
          </cell>
          <cell r="P517">
            <v>4614</v>
          </cell>
          <cell r="Q517">
            <v>0.51500000000000001</v>
          </cell>
          <cell r="R517">
            <v>3.7</v>
          </cell>
          <cell r="S517">
            <v>19</v>
          </cell>
          <cell r="T517">
            <v>104</v>
          </cell>
          <cell r="U517">
            <v>10</v>
          </cell>
        </row>
        <row r="518">
          <cell r="A518" t="str">
            <v>KBM-25H02-C (120 V)</v>
          </cell>
          <cell r="B518">
            <v>29.7</v>
          </cell>
          <cell r="C518">
            <v>29.5</v>
          </cell>
          <cell r="D518">
            <v>8.75</v>
          </cell>
          <cell r="E518">
            <v>6.5</v>
          </cell>
          <cell r="H518">
            <v>7.9912534584035866</v>
          </cell>
          <cell r="I518">
            <v>950</v>
          </cell>
          <cell r="P518">
            <v>1380</v>
          </cell>
          <cell r="Q518">
            <v>0.51500000000000001</v>
          </cell>
          <cell r="R518">
            <v>2.35</v>
          </cell>
          <cell r="S518">
            <v>12</v>
          </cell>
          <cell r="T518">
            <v>83.4</v>
          </cell>
          <cell r="U518">
            <v>10</v>
          </cell>
        </row>
        <row r="519">
          <cell r="A519" t="str">
            <v>KBM-25H02-C (240 V)</v>
          </cell>
          <cell r="B519">
            <v>29.7</v>
          </cell>
          <cell r="C519">
            <v>29.5</v>
          </cell>
          <cell r="D519">
            <v>8.75</v>
          </cell>
          <cell r="E519">
            <v>6.5</v>
          </cell>
          <cell r="J519">
            <v>7.4617759365874656</v>
          </cell>
          <cell r="K519">
            <v>2150</v>
          </cell>
          <cell r="P519">
            <v>2895</v>
          </cell>
          <cell r="Q519">
            <v>0.51500000000000001</v>
          </cell>
          <cell r="R519">
            <v>2.35</v>
          </cell>
          <cell r="S519">
            <v>12</v>
          </cell>
          <cell r="T519">
            <v>83.4</v>
          </cell>
          <cell r="U519">
            <v>10</v>
          </cell>
        </row>
        <row r="520">
          <cell r="A520" t="str">
            <v>KBM-25H02-C (400 V)</v>
          </cell>
          <cell r="B520">
            <v>29.7</v>
          </cell>
          <cell r="C520">
            <v>29.5</v>
          </cell>
          <cell r="D520">
            <v>8.75</v>
          </cell>
          <cell r="E520">
            <v>6.5</v>
          </cell>
          <cell r="L520">
            <v>6.0399300903374282</v>
          </cell>
          <cell r="M520">
            <v>4000</v>
          </cell>
          <cell r="P520">
            <v>4826</v>
          </cell>
          <cell r="Q520">
            <v>0.51500000000000001</v>
          </cell>
          <cell r="R520">
            <v>2.35</v>
          </cell>
          <cell r="S520">
            <v>12</v>
          </cell>
          <cell r="T520">
            <v>83.4</v>
          </cell>
          <cell r="U520">
            <v>10</v>
          </cell>
        </row>
        <row r="521">
          <cell r="A521" t="str">
            <v>KBM-25H02-C (480 V)</v>
          </cell>
          <cell r="B521">
            <v>29.7</v>
          </cell>
          <cell r="C521">
            <v>29.5</v>
          </cell>
          <cell r="D521">
            <v>8.75</v>
          </cell>
          <cell r="E521">
            <v>6.5</v>
          </cell>
          <cell r="N521">
            <v>4.8414933688554562</v>
          </cell>
          <cell r="O521">
            <v>5000</v>
          </cell>
          <cell r="P521">
            <v>5791</v>
          </cell>
          <cell r="Q521">
            <v>0.51500000000000001</v>
          </cell>
          <cell r="R521">
            <v>2.35</v>
          </cell>
          <cell r="S521">
            <v>12</v>
          </cell>
          <cell r="T521">
            <v>83.4</v>
          </cell>
          <cell r="U521">
            <v>10</v>
          </cell>
        </row>
        <row r="522">
          <cell r="A522" t="str">
            <v>KBM-25H02-D (120 V)</v>
          </cell>
          <cell r="B522">
            <v>29.8</v>
          </cell>
          <cell r="C522">
            <v>37</v>
          </cell>
          <cell r="D522">
            <v>8.6199999999999992</v>
          </cell>
          <cell r="E522">
            <v>8</v>
          </cell>
          <cell r="H522">
            <v>7.7953441514397719</v>
          </cell>
          <cell r="I522">
            <v>1225</v>
          </cell>
          <cell r="P522">
            <v>1717</v>
          </cell>
          <cell r="Q522">
            <v>0.51500000000000001</v>
          </cell>
          <cell r="R522">
            <v>1.57</v>
          </cell>
          <cell r="S522">
            <v>7.8</v>
          </cell>
          <cell r="T522">
            <v>67</v>
          </cell>
          <cell r="U522">
            <v>10</v>
          </cell>
        </row>
        <row r="523">
          <cell r="A523" t="str">
            <v>KBM-25H02-D (240 V)</v>
          </cell>
          <cell r="B523">
            <v>29.8</v>
          </cell>
          <cell r="C523">
            <v>37</v>
          </cell>
          <cell r="D523">
            <v>8.6199999999999992</v>
          </cell>
          <cell r="E523">
            <v>8</v>
          </cell>
          <cell r="J523">
            <v>6.9736147541916713</v>
          </cell>
          <cell r="K523">
            <v>2725</v>
          </cell>
          <cell r="P523">
            <v>3597</v>
          </cell>
          <cell r="Q523">
            <v>0.51500000000000001</v>
          </cell>
          <cell r="R523">
            <v>1.57</v>
          </cell>
          <cell r="S523">
            <v>7.8</v>
          </cell>
          <cell r="T523">
            <v>67</v>
          </cell>
          <cell r="U523">
            <v>10</v>
          </cell>
        </row>
        <row r="524">
          <cell r="A524" t="str">
            <v>KBM-25H02-D (400 V)</v>
          </cell>
          <cell r="B524">
            <v>29.8</v>
          </cell>
          <cell r="C524">
            <v>37</v>
          </cell>
          <cell r="D524">
            <v>8.6199999999999992</v>
          </cell>
          <cell r="E524">
            <v>8</v>
          </cell>
          <cell r="L524">
            <v>4.4612543893712751</v>
          </cell>
          <cell r="M524">
            <v>5180</v>
          </cell>
          <cell r="P524">
            <v>5995</v>
          </cell>
          <cell r="Q524">
            <v>0.51500000000000001</v>
          </cell>
          <cell r="R524">
            <v>1.57</v>
          </cell>
          <cell r="S524">
            <v>7.8</v>
          </cell>
          <cell r="T524">
            <v>67</v>
          </cell>
          <cell r="U524">
            <v>10</v>
          </cell>
        </row>
        <row r="525">
          <cell r="A525" t="str">
            <v>KBM-25H02-D (480 V)</v>
          </cell>
          <cell r="B525">
            <v>29.8</v>
          </cell>
          <cell r="C525">
            <v>37</v>
          </cell>
          <cell r="D525">
            <v>8.6199999999999992</v>
          </cell>
          <cell r="E525">
            <v>8</v>
          </cell>
          <cell r="N525">
            <v>2.8488734813449264</v>
          </cell>
          <cell r="O525">
            <v>6000</v>
          </cell>
          <cell r="P525">
            <v>7193</v>
          </cell>
          <cell r="Q525">
            <v>0.51500000000000001</v>
          </cell>
          <cell r="R525">
            <v>1.57</v>
          </cell>
          <cell r="S525">
            <v>7.8</v>
          </cell>
          <cell r="T525">
            <v>67</v>
          </cell>
          <cell r="U525">
            <v>10</v>
          </cell>
        </row>
        <row r="526">
          <cell r="A526" t="str">
            <v>KBM-25H02-E (120 V)</v>
          </cell>
          <cell r="B526">
            <v>29.8</v>
          </cell>
          <cell r="C526">
            <v>46.5</v>
          </cell>
          <cell r="D526">
            <v>8.85</v>
          </cell>
          <cell r="E526">
            <v>10.199999999999999</v>
          </cell>
          <cell r="H526">
            <v>7.8184865793893579</v>
          </cell>
          <cell r="I526">
            <v>1600</v>
          </cell>
          <cell r="P526">
            <v>2143</v>
          </cell>
          <cell r="Q526">
            <v>0.51500000000000001</v>
          </cell>
          <cell r="R526">
            <v>0.96</v>
          </cell>
          <cell r="S526">
            <v>5</v>
          </cell>
          <cell r="T526">
            <v>54</v>
          </cell>
          <cell r="U526">
            <v>10</v>
          </cell>
        </row>
        <row r="527">
          <cell r="A527" t="str">
            <v>KBM-25H02-E (240 V)</v>
          </cell>
          <cell r="B527">
            <v>29.8</v>
          </cell>
          <cell r="C527">
            <v>46.5</v>
          </cell>
          <cell r="D527">
            <v>8.85</v>
          </cell>
          <cell r="E527">
            <v>10.199999999999999</v>
          </cell>
          <cell r="J527">
            <v>6.5120897548433847</v>
          </cell>
          <cell r="K527">
            <v>3600</v>
          </cell>
          <cell r="P527">
            <v>4480</v>
          </cell>
          <cell r="Q527">
            <v>0.51500000000000001</v>
          </cell>
          <cell r="R527">
            <v>0.96</v>
          </cell>
          <cell r="S527">
            <v>5</v>
          </cell>
          <cell r="T527">
            <v>54</v>
          </cell>
          <cell r="U527">
            <v>10</v>
          </cell>
        </row>
        <row r="528">
          <cell r="A528" t="str">
            <v>KBM-25H02-E (400 V)</v>
          </cell>
          <cell r="B528">
            <v>29.8</v>
          </cell>
          <cell r="C528">
            <v>43.3</v>
          </cell>
          <cell r="D528">
            <v>8.85</v>
          </cell>
          <cell r="E528">
            <v>10.199999999999999</v>
          </cell>
          <cell r="L528">
            <v>2.9443664472000637</v>
          </cell>
          <cell r="M528">
            <v>6000</v>
          </cell>
          <cell r="P528">
            <v>7430</v>
          </cell>
          <cell r="Q528">
            <v>0.51500000000000001</v>
          </cell>
          <cell r="R528">
            <v>0.96</v>
          </cell>
          <cell r="S528">
            <v>5</v>
          </cell>
          <cell r="T528">
            <v>54</v>
          </cell>
          <cell r="U528">
            <v>10</v>
          </cell>
        </row>
        <row r="529">
          <cell r="A529" t="str">
            <v>KBM-25H02-F (120 V)</v>
          </cell>
          <cell r="B529">
            <v>30.1</v>
          </cell>
          <cell r="C529">
            <v>58</v>
          </cell>
          <cell r="D529">
            <v>8.93</v>
          </cell>
          <cell r="E529">
            <v>12.74</v>
          </cell>
          <cell r="H529">
            <v>7.639437268410977</v>
          </cell>
          <cell r="I529">
            <v>2100</v>
          </cell>
          <cell r="P529">
            <v>2666</v>
          </cell>
          <cell r="Q529">
            <v>0.51500000000000001</v>
          </cell>
          <cell r="R529">
            <v>0.61</v>
          </cell>
          <cell r="S529">
            <v>3.2</v>
          </cell>
          <cell r="T529">
            <v>43.3</v>
          </cell>
          <cell r="U529">
            <v>10</v>
          </cell>
        </row>
        <row r="530">
          <cell r="A530" t="str">
            <v>KBM-25H02-F (240 V)</v>
          </cell>
          <cell r="B530">
            <v>30.1</v>
          </cell>
          <cell r="C530">
            <v>58</v>
          </cell>
          <cell r="D530">
            <v>8.93</v>
          </cell>
          <cell r="E530">
            <v>12.74</v>
          </cell>
          <cell r="J530">
            <v>5.6022539968347154</v>
          </cell>
          <cell r="K530">
            <v>4500</v>
          </cell>
          <cell r="P530">
            <v>5564</v>
          </cell>
          <cell r="Q530">
            <v>0.51500000000000001</v>
          </cell>
          <cell r="R530">
            <v>0.61</v>
          </cell>
          <cell r="S530">
            <v>3.2</v>
          </cell>
          <cell r="T530">
            <v>43.3</v>
          </cell>
          <cell r="U530">
            <v>10</v>
          </cell>
        </row>
        <row r="531">
          <cell r="A531" t="str">
            <v>KBM-25H02-G (120 V)</v>
          </cell>
          <cell r="B531">
            <v>30</v>
          </cell>
          <cell r="C531">
            <v>65.5</v>
          </cell>
          <cell r="D531">
            <v>8.74</v>
          </cell>
          <cell r="E531">
            <v>14.37</v>
          </cell>
          <cell r="H531">
            <v>7.341021750113673</v>
          </cell>
          <cell r="I531">
            <v>2400</v>
          </cell>
          <cell r="P531">
            <v>3027</v>
          </cell>
          <cell r="Q531">
            <v>0.51500000000000001</v>
          </cell>
          <cell r="R531">
            <v>0.49</v>
          </cell>
          <cell r="S531">
            <v>2.5</v>
          </cell>
          <cell r="T531">
            <v>38.200000000000003</v>
          </cell>
          <cell r="U531">
            <v>10</v>
          </cell>
        </row>
        <row r="532">
          <cell r="A532" t="str">
            <v>KBM-25H02-G (240 V)</v>
          </cell>
          <cell r="B532">
            <v>30</v>
          </cell>
          <cell r="C532">
            <v>65.5</v>
          </cell>
          <cell r="D532">
            <v>8.74</v>
          </cell>
          <cell r="E532">
            <v>14.37</v>
          </cell>
          <cell r="J532">
            <v>4.3692536263907114</v>
          </cell>
          <cell r="K532">
            <v>5300</v>
          </cell>
          <cell r="P532">
            <v>6316</v>
          </cell>
          <cell r="Q532">
            <v>0.51500000000000001</v>
          </cell>
          <cell r="R532">
            <v>0.49</v>
          </cell>
          <cell r="S532">
            <v>2.5</v>
          </cell>
          <cell r="T532">
            <v>38.200000000000003</v>
          </cell>
          <cell r="U532">
            <v>10</v>
          </cell>
        </row>
        <row r="533">
          <cell r="A533" t="str">
            <v>KBM-25H03-A (120 V)</v>
          </cell>
          <cell r="B533">
            <v>42.2</v>
          </cell>
          <cell r="C533">
            <v>23.9</v>
          </cell>
          <cell r="D533">
            <v>11.86</v>
          </cell>
          <cell r="E533">
            <v>5.3</v>
          </cell>
          <cell r="H533">
            <v>11.285532328334398</v>
          </cell>
          <cell r="I533">
            <v>550</v>
          </cell>
          <cell r="P533">
            <v>827</v>
          </cell>
          <cell r="Q533">
            <v>0.76600000000000001</v>
          </cell>
          <cell r="R533">
            <v>3.97</v>
          </cell>
          <cell r="S533">
            <v>21</v>
          </cell>
          <cell r="T533">
            <v>139</v>
          </cell>
          <cell r="U533">
            <v>10</v>
          </cell>
        </row>
        <row r="534">
          <cell r="A534" t="str">
            <v>KBM-25H03-A (240 V)</v>
          </cell>
          <cell r="B534">
            <v>42.2</v>
          </cell>
          <cell r="C534">
            <v>23.9</v>
          </cell>
          <cell r="D534">
            <v>11.86</v>
          </cell>
          <cell r="E534">
            <v>5.3</v>
          </cell>
          <cell r="J534">
            <v>11.018419137131216</v>
          </cell>
          <cell r="K534">
            <v>1300</v>
          </cell>
          <cell r="P534">
            <v>1735</v>
          </cell>
          <cell r="Q534">
            <v>0.76600000000000001</v>
          </cell>
          <cell r="R534">
            <v>3.97</v>
          </cell>
          <cell r="S534">
            <v>21</v>
          </cell>
          <cell r="T534">
            <v>139</v>
          </cell>
          <cell r="U534">
            <v>10</v>
          </cell>
        </row>
        <row r="535">
          <cell r="A535" t="str">
            <v>KBM-25H03-A (400 V)</v>
          </cell>
          <cell r="B535">
            <v>42.2</v>
          </cell>
          <cell r="C535">
            <v>23.9</v>
          </cell>
          <cell r="D535">
            <v>11.86</v>
          </cell>
          <cell r="E535">
            <v>5.3</v>
          </cell>
          <cell r="L535">
            <v>9.9869726790164322</v>
          </cell>
          <cell r="M535">
            <v>2400</v>
          </cell>
          <cell r="P535">
            <v>2899</v>
          </cell>
          <cell r="Q535">
            <v>0.76600000000000001</v>
          </cell>
          <cell r="R535">
            <v>3.97</v>
          </cell>
          <cell r="S535">
            <v>21</v>
          </cell>
          <cell r="T535">
            <v>139</v>
          </cell>
          <cell r="U535">
            <v>10</v>
          </cell>
        </row>
        <row r="536">
          <cell r="A536" t="str">
            <v>KBM-25H03-A (480 V)</v>
          </cell>
          <cell r="B536">
            <v>42.2</v>
          </cell>
          <cell r="C536">
            <v>23.9</v>
          </cell>
          <cell r="D536">
            <v>11.86</v>
          </cell>
          <cell r="E536">
            <v>5.3</v>
          </cell>
          <cell r="N536">
            <v>9.3846535409358971</v>
          </cell>
          <cell r="O536">
            <v>2900</v>
          </cell>
          <cell r="P536">
            <v>3479</v>
          </cell>
          <cell r="Q536">
            <v>0.76600000000000001</v>
          </cell>
          <cell r="R536">
            <v>3.97</v>
          </cell>
          <cell r="S536">
            <v>21</v>
          </cell>
          <cell r="T536">
            <v>139</v>
          </cell>
          <cell r="U536">
            <v>10</v>
          </cell>
        </row>
        <row r="537">
          <cell r="A537" t="str">
            <v>KBM-25H03-B (120 V)</v>
          </cell>
          <cell r="B537">
            <v>42.3</v>
          </cell>
          <cell r="C537">
            <v>33</v>
          </cell>
          <cell r="D537">
            <v>11.84</v>
          </cell>
          <cell r="E537">
            <v>7.27</v>
          </cell>
          <cell r="H537">
            <v>10.742958658702936</v>
          </cell>
          <cell r="I537">
            <v>800</v>
          </cell>
          <cell r="P537">
            <v>1144</v>
          </cell>
          <cell r="Q537">
            <v>0.76600000000000001</v>
          </cell>
          <cell r="R537">
            <v>2.1</v>
          </cell>
          <cell r="S537">
            <v>11.4</v>
          </cell>
          <cell r="T537">
            <v>100</v>
          </cell>
          <cell r="U537">
            <v>10</v>
          </cell>
        </row>
        <row r="538">
          <cell r="A538" t="str">
            <v>KBM-25H03-B (240 V)</v>
          </cell>
          <cell r="B538">
            <v>42.3</v>
          </cell>
          <cell r="C538">
            <v>33</v>
          </cell>
          <cell r="D538">
            <v>11.84</v>
          </cell>
          <cell r="E538">
            <v>7.27</v>
          </cell>
          <cell r="J538">
            <v>10.02022080068974</v>
          </cell>
          <cell r="K538">
            <v>1825</v>
          </cell>
          <cell r="P538">
            <v>2399</v>
          </cell>
          <cell r="Q538">
            <v>0.76600000000000001</v>
          </cell>
          <cell r="R538">
            <v>2.1</v>
          </cell>
          <cell r="S538">
            <v>11.4</v>
          </cell>
          <cell r="T538">
            <v>100</v>
          </cell>
          <cell r="U538">
            <v>10</v>
          </cell>
        </row>
        <row r="539">
          <cell r="A539" t="str">
            <v>KBM-25H03-B (400 V)</v>
          </cell>
          <cell r="B539">
            <v>42.3</v>
          </cell>
          <cell r="C539">
            <v>33</v>
          </cell>
          <cell r="D539">
            <v>11.84</v>
          </cell>
          <cell r="E539">
            <v>7.27</v>
          </cell>
          <cell r="L539">
            <v>5.2661562052465376</v>
          </cell>
          <cell r="M539">
            <v>3400</v>
          </cell>
          <cell r="P539">
            <v>4000</v>
          </cell>
          <cell r="Q539">
            <v>0.76600000000000001</v>
          </cell>
          <cell r="R539">
            <v>2.1</v>
          </cell>
          <cell r="S539">
            <v>11.4</v>
          </cell>
          <cell r="T539">
            <v>100</v>
          </cell>
          <cell r="U539">
            <v>10</v>
          </cell>
        </row>
        <row r="540">
          <cell r="A540" t="str">
            <v>KBM-25H03-B (480 V)</v>
          </cell>
          <cell r="B540">
            <v>42.3</v>
          </cell>
          <cell r="C540">
            <v>33</v>
          </cell>
          <cell r="D540">
            <v>11.84</v>
          </cell>
          <cell r="E540">
            <v>7.27</v>
          </cell>
          <cell r="N540">
            <v>6.6499920800324466</v>
          </cell>
          <cell r="O540">
            <v>4150</v>
          </cell>
          <cell r="P540">
            <v>4800</v>
          </cell>
          <cell r="Q540">
            <v>0.76600000000000001</v>
          </cell>
          <cell r="R540">
            <v>2.1</v>
          </cell>
          <cell r="S540">
            <v>11.4</v>
          </cell>
          <cell r="T540">
            <v>100</v>
          </cell>
          <cell r="U540">
            <v>10</v>
          </cell>
        </row>
        <row r="541">
          <cell r="A541" t="str">
            <v>KBM-25H03-C (120 V)</v>
          </cell>
          <cell r="B541">
            <v>42.4</v>
          </cell>
          <cell r="C541">
            <v>37</v>
          </cell>
          <cell r="D541">
            <v>11.9</v>
          </cell>
          <cell r="E541">
            <v>8.1999999999999993</v>
          </cell>
          <cell r="H541">
            <v>10.769484482551585</v>
          </cell>
          <cell r="I541">
            <v>900</v>
          </cell>
          <cell r="P541">
            <v>1276</v>
          </cell>
          <cell r="Q541">
            <v>0.76600000000000001</v>
          </cell>
          <cell r="R541">
            <v>1.66</v>
          </cell>
          <cell r="S541">
            <v>9.1</v>
          </cell>
          <cell r="T541">
            <v>90</v>
          </cell>
          <cell r="U541">
            <v>10</v>
          </cell>
        </row>
        <row r="542">
          <cell r="A542" t="str">
            <v>KBM-25H03-C (240 V)</v>
          </cell>
          <cell r="B542">
            <v>42.4</v>
          </cell>
          <cell r="C542">
            <v>37</v>
          </cell>
          <cell r="D542">
            <v>11.9</v>
          </cell>
          <cell r="E542">
            <v>8.1999999999999993</v>
          </cell>
          <cell r="J542">
            <v>9.8753701274580923</v>
          </cell>
          <cell r="K542">
            <v>2050</v>
          </cell>
          <cell r="P542">
            <v>2676</v>
          </cell>
          <cell r="Q542">
            <v>0.76600000000000001</v>
          </cell>
          <cell r="R542">
            <v>1.66</v>
          </cell>
          <cell r="S542">
            <v>9.1</v>
          </cell>
          <cell r="T542">
            <v>90</v>
          </cell>
          <cell r="U542">
            <v>10</v>
          </cell>
        </row>
        <row r="543">
          <cell r="A543" t="str">
            <v>KBM-25H03-C (400 V)</v>
          </cell>
          <cell r="B543">
            <v>42.4</v>
          </cell>
          <cell r="C543">
            <v>37</v>
          </cell>
          <cell r="D543">
            <v>11.9</v>
          </cell>
          <cell r="E543">
            <v>8.1999999999999993</v>
          </cell>
          <cell r="L543">
            <v>7.4635291734146705</v>
          </cell>
          <cell r="M543">
            <v>3800</v>
          </cell>
          <cell r="P543">
            <v>4459</v>
          </cell>
          <cell r="Q543">
            <v>0.76600000000000001</v>
          </cell>
          <cell r="R543">
            <v>1.66</v>
          </cell>
          <cell r="S543">
            <v>9.1</v>
          </cell>
          <cell r="T543">
            <v>90</v>
          </cell>
          <cell r="U543">
            <v>10</v>
          </cell>
        </row>
        <row r="544">
          <cell r="A544" t="str">
            <v>KBM-25H03-C (480 V)</v>
          </cell>
          <cell r="B544">
            <v>42.4</v>
          </cell>
          <cell r="C544">
            <v>37</v>
          </cell>
          <cell r="D544">
            <v>11.9</v>
          </cell>
          <cell r="E544">
            <v>8.1999999999999993</v>
          </cell>
          <cell r="N544">
            <v>5.2243241637149138</v>
          </cell>
          <cell r="O544">
            <v>4725</v>
          </cell>
          <cell r="P544">
            <v>5351</v>
          </cell>
          <cell r="Q544">
            <v>0.76600000000000001</v>
          </cell>
          <cell r="R544">
            <v>1.66</v>
          </cell>
          <cell r="S544">
            <v>9.1</v>
          </cell>
          <cell r="T544">
            <v>90</v>
          </cell>
          <cell r="U544">
            <v>10</v>
          </cell>
        </row>
        <row r="545">
          <cell r="A545" t="str">
            <v>KBM-25H03-D (120 V)</v>
          </cell>
          <cell r="B545">
            <v>42.6</v>
          </cell>
          <cell r="C545">
            <v>47</v>
          </cell>
          <cell r="D545">
            <v>11.9</v>
          </cell>
          <cell r="E545">
            <v>10.24</v>
          </cell>
          <cell r="H545">
            <v>10.663381187156988</v>
          </cell>
          <cell r="I545">
            <v>1200</v>
          </cell>
          <cell r="P545">
            <v>1595</v>
          </cell>
          <cell r="Q545">
            <v>0.76600000000000001</v>
          </cell>
          <cell r="R545">
            <v>1.06</v>
          </cell>
          <cell r="S545">
            <v>5.7</v>
          </cell>
          <cell r="T545">
            <v>72.099999999999994</v>
          </cell>
          <cell r="U545">
            <v>10</v>
          </cell>
        </row>
        <row r="546">
          <cell r="A546" t="str">
            <v>KBM-25H03-D (240 V)</v>
          </cell>
          <cell r="B546">
            <v>42.6</v>
          </cell>
          <cell r="C546">
            <v>47</v>
          </cell>
          <cell r="D546">
            <v>11.9</v>
          </cell>
          <cell r="E546">
            <v>10.24</v>
          </cell>
          <cell r="J546">
            <v>9.1956189341983965</v>
          </cell>
          <cell r="K546">
            <v>2700</v>
          </cell>
          <cell r="P546">
            <v>3338</v>
          </cell>
          <cell r="Q546">
            <v>0.76600000000000001</v>
          </cell>
          <cell r="R546">
            <v>1.06</v>
          </cell>
          <cell r="S546">
            <v>5.7</v>
          </cell>
          <cell r="T546">
            <v>72.099999999999994</v>
          </cell>
          <cell r="U546">
            <v>10</v>
          </cell>
        </row>
        <row r="547">
          <cell r="A547" t="str">
            <v>KBM-25H03-D (400 V)</v>
          </cell>
          <cell r="B547">
            <v>42.6</v>
          </cell>
          <cell r="C547">
            <v>47</v>
          </cell>
          <cell r="D547">
            <v>11.9</v>
          </cell>
          <cell r="E547">
            <v>10.199999999999999</v>
          </cell>
          <cell r="L547">
            <v>5.0010749128257421</v>
          </cell>
          <cell r="M547">
            <v>4850</v>
          </cell>
          <cell r="P547">
            <v>5560</v>
          </cell>
          <cell r="Q547">
            <v>0.76600000000000001</v>
          </cell>
          <cell r="R547">
            <v>1.06</v>
          </cell>
          <cell r="S547">
            <v>5.7</v>
          </cell>
          <cell r="T547">
            <v>72.099999999999994</v>
          </cell>
          <cell r="U547">
            <v>10</v>
          </cell>
        </row>
        <row r="548">
          <cell r="A548" t="str">
            <v>KBM-25H03-E (120 V)</v>
          </cell>
          <cell r="B548">
            <v>42.6</v>
          </cell>
          <cell r="C548">
            <v>59</v>
          </cell>
          <cell r="D548">
            <v>11.8</v>
          </cell>
          <cell r="E548">
            <v>12.7</v>
          </cell>
          <cell r="H548">
            <v>10.269407475568853</v>
          </cell>
          <cell r="I548">
            <v>1525</v>
          </cell>
          <cell r="P548">
            <v>2006</v>
          </cell>
          <cell r="Q548">
            <v>0.76600000000000001</v>
          </cell>
          <cell r="R548">
            <v>0.69</v>
          </cell>
          <cell r="S548">
            <v>3.6</v>
          </cell>
          <cell r="T548">
            <v>57.4</v>
          </cell>
          <cell r="U548">
            <v>10</v>
          </cell>
        </row>
        <row r="549">
          <cell r="A549" t="str">
            <v>KBM-25H03-E (240 V)</v>
          </cell>
          <cell r="B549">
            <v>42.6</v>
          </cell>
          <cell r="C549">
            <v>59</v>
          </cell>
          <cell r="D549">
            <v>11.8</v>
          </cell>
          <cell r="E549">
            <v>12.7</v>
          </cell>
          <cell r="J549">
            <v>8.0747728480446916</v>
          </cell>
          <cell r="K549">
            <v>3400</v>
          </cell>
          <cell r="P549">
            <v>4193</v>
          </cell>
          <cell r="Q549">
            <v>0.76600000000000001</v>
          </cell>
          <cell r="R549">
            <v>0.69</v>
          </cell>
          <cell r="S549">
            <v>3.6</v>
          </cell>
          <cell r="T549">
            <v>57.4</v>
          </cell>
          <cell r="U549">
            <v>10</v>
          </cell>
        </row>
        <row r="550">
          <cell r="A550" t="str">
            <v>KBM-25H03-F (120 V)</v>
          </cell>
          <cell r="B550">
            <v>42</v>
          </cell>
          <cell r="C550">
            <v>67</v>
          </cell>
          <cell r="D550">
            <v>11.75</v>
          </cell>
          <cell r="E550">
            <v>14.79</v>
          </cell>
          <cell r="H550">
            <v>9.936430230872384</v>
          </cell>
          <cell r="I550">
            <v>1850</v>
          </cell>
          <cell r="P550">
            <v>2347</v>
          </cell>
          <cell r="Q550">
            <v>0.76600000000000001</v>
          </cell>
          <cell r="R550">
            <v>0.51</v>
          </cell>
          <cell r="S550">
            <v>2.7</v>
          </cell>
          <cell r="T550">
            <v>49.4</v>
          </cell>
          <cell r="U550">
            <v>10</v>
          </cell>
        </row>
        <row r="551">
          <cell r="A551" t="str">
            <v>KBM-25H03-F (240 V)</v>
          </cell>
          <cell r="B551">
            <v>42</v>
          </cell>
          <cell r="C551">
            <v>67</v>
          </cell>
          <cell r="D551">
            <v>11.75</v>
          </cell>
          <cell r="E551">
            <v>14.79</v>
          </cell>
          <cell r="J551">
            <v>6.7427350280639562</v>
          </cell>
          <cell r="K551">
            <v>4100</v>
          </cell>
          <cell r="P551">
            <v>4902</v>
          </cell>
          <cell r="Q551">
            <v>0.76600000000000001</v>
          </cell>
          <cell r="R551">
            <v>0.51</v>
          </cell>
          <cell r="S551">
            <v>2.7</v>
          </cell>
          <cell r="T551">
            <v>49.4</v>
          </cell>
          <cell r="U551">
            <v>10</v>
          </cell>
        </row>
        <row r="552">
          <cell r="A552" t="str">
            <v>KBM-25H03-G (120 V)</v>
          </cell>
          <cell r="B552">
            <v>42</v>
          </cell>
          <cell r="C552">
            <v>96</v>
          </cell>
          <cell r="D552">
            <v>11.2</v>
          </cell>
          <cell r="E552">
            <v>20</v>
          </cell>
          <cell r="H552">
            <v>8.5422798546777301</v>
          </cell>
          <cell r="I552">
            <v>2750</v>
          </cell>
          <cell r="P552">
            <v>3324</v>
          </cell>
          <cell r="Q552">
            <v>0.76600000000000001</v>
          </cell>
          <cell r="R552">
            <v>0.28000000000000003</v>
          </cell>
          <cell r="S552">
            <v>1.3</v>
          </cell>
          <cell r="T552">
            <v>34.6</v>
          </cell>
          <cell r="U552">
            <v>10</v>
          </cell>
        </row>
        <row r="553">
          <cell r="A553" t="str">
            <v>KBM-25H03-G (240 V)</v>
          </cell>
          <cell r="B553">
            <v>42</v>
          </cell>
          <cell r="C553">
            <v>96</v>
          </cell>
          <cell r="D553">
            <v>11.2</v>
          </cell>
          <cell r="E553">
            <v>20</v>
          </cell>
          <cell r="J553">
            <v>3.5388569699256727</v>
          </cell>
          <cell r="K553">
            <v>5100</v>
          </cell>
          <cell r="P553">
            <v>6937</v>
          </cell>
          <cell r="Q553">
            <v>0.76600000000000001</v>
          </cell>
          <cell r="R553">
            <v>0.28000000000000003</v>
          </cell>
          <cell r="S553">
            <v>1.3</v>
          </cell>
          <cell r="T553">
            <v>34.6</v>
          </cell>
          <cell r="U553">
            <v>10</v>
          </cell>
        </row>
        <row r="554">
          <cell r="A554" t="str">
            <v>KBM-25H03-H (120 V)</v>
          </cell>
          <cell r="B554">
            <v>42.6</v>
          </cell>
          <cell r="C554">
            <v>105</v>
          </cell>
          <cell r="D554">
            <v>11</v>
          </cell>
          <cell r="E554">
            <v>21.1</v>
          </cell>
          <cell r="H554">
            <v>7.9793274858614645</v>
          </cell>
          <cell r="I554">
            <v>2950</v>
          </cell>
          <cell r="P554">
            <v>3642</v>
          </cell>
          <cell r="Q554">
            <v>0.76600000000000001</v>
          </cell>
          <cell r="R554">
            <v>0.25</v>
          </cell>
          <cell r="S554">
            <v>1.1000000000000001</v>
          </cell>
          <cell r="T554">
            <v>31.8</v>
          </cell>
          <cell r="U554">
            <v>10</v>
          </cell>
        </row>
        <row r="555">
          <cell r="A555" t="str">
            <v>KBM-25H03-H (240 V)</v>
          </cell>
          <cell r="B555">
            <v>42.6</v>
          </cell>
          <cell r="C555">
            <v>105</v>
          </cell>
          <cell r="D555">
            <v>11</v>
          </cell>
          <cell r="E555">
            <v>21.1</v>
          </cell>
          <cell r="J555">
            <v>3.0300652627110845</v>
          </cell>
          <cell r="K555">
            <v>5200</v>
          </cell>
          <cell r="P555">
            <v>7600</v>
          </cell>
          <cell r="Q555">
            <v>0.76600000000000001</v>
          </cell>
          <cell r="R555">
            <v>0.25</v>
          </cell>
          <cell r="S555">
            <v>1.1000000000000001</v>
          </cell>
          <cell r="T555">
            <v>31.8</v>
          </cell>
          <cell r="U555">
            <v>10</v>
          </cell>
        </row>
        <row r="556">
          <cell r="A556" t="str">
            <v>KBM-25H04-A (120 V)</v>
          </cell>
          <cell r="B556">
            <v>54.4</v>
          </cell>
          <cell r="C556">
            <v>25</v>
          </cell>
          <cell r="D556">
            <v>14.82</v>
          </cell>
          <cell r="E556">
            <v>5.5</v>
          </cell>
          <cell r="H556">
            <v>13.687325105903</v>
          </cell>
          <cell r="I556">
            <v>450</v>
          </cell>
          <cell r="P556">
            <v>685</v>
          </cell>
          <cell r="Q556">
            <v>1.02</v>
          </cell>
          <cell r="R556">
            <v>4.08</v>
          </cell>
          <cell r="S556">
            <v>23</v>
          </cell>
          <cell r="T556">
            <v>167</v>
          </cell>
          <cell r="U556">
            <v>10</v>
          </cell>
        </row>
        <row r="557">
          <cell r="A557" t="str">
            <v>KBM-25H04-A (240 V)</v>
          </cell>
          <cell r="B557">
            <v>54.4</v>
          </cell>
          <cell r="C557">
            <v>25</v>
          </cell>
          <cell r="D557">
            <v>14.82</v>
          </cell>
          <cell r="E557">
            <v>5.5</v>
          </cell>
          <cell r="J557">
            <v>13.187123856185615</v>
          </cell>
          <cell r="K557">
            <v>1050</v>
          </cell>
          <cell r="P557">
            <v>1437</v>
          </cell>
          <cell r="Q557">
            <v>1.02</v>
          </cell>
          <cell r="R557">
            <v>4.08</v>
          </cell>
          <cell r="S557">
            <v>23</v>
          </cell>
          <cell r="T557">
            <v>167</v>
          </cell>
          <cell r="U557">
            <v>10</v>
          </cell>
        </row>
        <row r="558">
          <cell r="A558" t="str">
            <v>KBM-25H04-A (400 V)</v>
          </cell>
          <cell r="B558">
            <v>54.4</v>
          </cell>
          <cell r="C558">
            <v>25</v>
          </cell>
          <cell r="D558">
            <v>14.82</v>
          </cell>
          <cell r="E558">
            <v>5.5</v>
          </cell>
          <cell r="L558">
            <v>12.032113697747288</v>
          </cell>
          <cell r="M558">
            <v>2000</v>
          </cell>
          <cell r="P558">
            <v>2400</v>
          </cell>
          <cell r="Q558">
            <v>1.02</v>
          </cell>
          <cell r="R558">
            <v>4.08</v>
          </cell>
          <cell r="S558">
            <v>23</v>
          </cell>
          <cell r="T558">
            <v>167</v>
          </cell>
          <cell r="U558">
            <v>10</v>
          </cell>
        </row>
        <row r="559">
          <cell r="A559" t="str">
            <v>KBM-25H04-A (480 V)</v>
          </cell>
          <cell r="B559">
            <v>54.4</v>
          </cell>
          <cell r="C559">
            <v>25</v>
          </cell>
          <cell r="D559">
            <v>14.82</v>
          </cell>
          <cell r="E559">
            <v>5.5</v>
          </cell>
          <cell r="N559">
            <v>11.399472798957003</v>
          </cell>
          <cell r="O559">
            <v>2400</v>
          </cell>
          <cell r="P559">
            <v>2888</v>
          </cell>
          <cell r="Q559">
            <v>1.02</v>
          </cell>
          <cell r="R559">
            <v>4.08</v>
          </cell>
          <cell r="S559">
            <v>23</v>
          </cell>
          <cell r="T559">
            <v>167</v>
          </cell>
          <cell r="U559">
            <v>10</v>
          </cell>
        </row>
        <row r="560">
          <cell r="A560" t="str">
            <v>KBM-25H04-B (120 V)</v>
          </cell>
          <cell r="B560">
            <v>53.8</v>
          </cell>
          <cell r="C560">
            <v>27.5</v>
          </cell>
          <cell r="D560">
            <v>14.9</v>
          </cell>
          <cell r="E560">
            <v>6.2</v>
          </cell>
          <cell r="H560">
            <v>13.641852265019601</v>
          </cell>
          <cell r="I560">
            <v>525</v>
          </cell>
          <cell r="P560">
            <v>772</v>
          </cell>
          <cell r="Q560">
            <v>1.02</v>
          </cell>
          <cell r="R560">
            <v>3.2</v>
          </cell>
          <cell r="S560">
            <v>18</v>
          </cell>
          <cell r="T560">
            <v>148</v>
          </cell>
          <cell r="U560">
            <v>10</v>
          </cell>
        </row>
        <row r="561">
          <cell r="A561" t="str">
            <v>KBM-25H04-B (240 V)</v>
          </cell>
          <cell r="B561">
            <v>53.8</v>
          </cell>
          <cell r="C561">
            <v>27.5</v>
          </cell>
          <cell r="D561">
            <v>14.9</v>
          </cell>
          <cell r="E561">
            <v>6.2</v>
          </cell>
          <cell r="J561">
            <v>13.130282805081366</v>
          </cell>
          <cell r="K561">
            <v>1200</v>
          </cell>
          <cell r="P561">
            <v>1618</v>
          </cell>
          <cell r="Q561">
            <v>1.02</v>
          </cell>
          <cell r="R561">
            <v>3.2</v>
          </cell>
          <cell r="S561">
            <v>18</v>
          </cell>
          <cell r="T561">
            <v>148</v>
          </cell>
          <cell r="U561">
            <v>10</v>
          </cell>
        </row>
        <row r="562">
          <cell r="A562" t="str">
            <v>KBM-25H04-B (400 V)</v>
          </cell>
          <cell r="B562">
            <v>53.8</v>
          </cell>
          <cell r="C562">
            <v>27.5</v>
          </cell>
          <cell r="D562">
            <v>14.9</v>
          </cell>
          <cell r="E562">
            <v>6.2</v>
          </cell>
          <cell r="L562">
            <v>11.735024470642415</v>
          </cell>
          <cell r="M562">
            <v>2250</v>
          </cell>
          <cell r="P562">
            <v>2704</v>
          </cell>
          <cell r="Q562">
            <v>1.02</v>
          </cell>
          <cell r="R562">
            <v>3.2</v>
          </cell>
          <cell r="S562">
            <v>18</v>
          </cell>
          <cell r="T562">
            <v>148</v>
          </cell>
          <cell r="U562">
            <v>10</v>
          </cell>
        </row>
        <row r="563">
          <cell r="A563" t="str">
            <v>KBM-25H04-B (480 V)</v>
          </cell>
          <cell r="B563">
            <v>53.8</v>
          </cell>
          <cell r="C563">
            <v>27.5</v>
          </cell>
          <cell r="D563">
            <v>14.9</v>
          </cell>
          <cell r="E563">
            <v>6.2</v>
          </cell>
          <cell r="N563">
            <v>10.92863942564348</v>
          </cell>
          <cell r="O563">
            <v>2700</v>
          </cell>
          <cell r="P563">
            <v>3245</v>
          </cell>
          <cell r="Q563">
            <v>1.02</v>
          </cell>
          <cell r="R563">
            <v>3.2</v>
          </cell>
          <cell r="S563">
            <v>18</v>
          </cell>
          <cell r="T563">
            <v>148</v>
          </cell>
          <cell r="U563">
            <v>10</v>
          </cell>
        </row>
        <row r="564">
          <cell r="A564" t="str">
            <v>KBM-25H04-C (120 V)</v>
          </cell>
          <cell r="B564">
            <v>54.4</v>
          </cell>
          <cell r="C564">
            <v>38.5</v>
          </cell>
          <cell r="D564">
            <v>15.1</v>
          </cell>
          <cell r="E564">
            <v>8.6300000000000008</v>
          </cell>
          <cell r="H564">
            <v>13.687325105903</v>
          </cell>
          <cell r="I564">
            <v>750</v>
          </cell>
          <cell r="P564">
            <v>1060</v>
          </cell>
          <cell r="Q564">
            <v>1.02</v>
          </cell>
          <cell r="R564">
            <v>1.66</v>
          </cell>
          <cell r="S564">
            <v>9.6</v>
          </cell>
          <cell r="T564">
            <v>108</v>
          </cell>
          <cell r="U564">
            <v>10</v>
          </cell>
        </row>
        <row r="565">
          <cell r="A565" t="str">
            <v>KBM-25H04-C (240 V)</v>
          </cell>
          <cell r="B565">
            <v>54.4</v>
          </cell>
          <cell r="C565">
            <v>38.5</v>
          </cell>
          <cell r="D565">
            <v>15.1</v>
          </cell>
          <cell r="E565">
            <v>8.6300000000000008</v>
          </cell>
          <cell r="J565">
            <v>12.638774892591691</v>
          </cell>
          <cell r="K565">
            <v>1700</v>
          </cell>
          <cell r="P565">
            <v>2223</v>
          </cell>
          <cell r="Q565">
            <v>1.02</v>
          </cell>
          <cell r="R565">
            <v>1.66</v>
          </cell>
          <cell r="S565">
            <v>9.6</v>
          </cell>
          <cell r="T565">
            <v>108</v>
          </cell>
          <cell r="U565">
            <v>10</v>
          </cell>
        </row>
        <row r="566">
          <cell r="A566" t="str">
            <v>KBM-25H04-C (400 V)</v>
          </cell>
          <cell r="B566">
            <v>54.4</v>
          </cell>
          <cell r="C566">
            <v>38.5</v>
          </cell>
          <cell r="D566">
            <v>15.1</v>
          </cell>
          <cell r="E566">
            <v>8.6300000000000008</v>
          </cell>
          <cell r="L566">
            <v>10.064655448858906</v>
          </cell>
          <cell r="M566">
            <v>3150</v>
          </cell>
          <cell r="P566">
            <v>3707</v>
          </cell>
          <cell r="Q566">
            <v>1.02</v>
          </cell>
          <cell r="R566">
            <v>1.66</v>
          </cell>
          <cell r="S566">
            <v>9.6</v>
          </cell>
          <cell r="T566">
            <v>108</v>
          </cell>
          <cell r="U566">
            <v>10</v>
          </cell>
        </row>
        <row r="567">
          <cell r="A567" t="str">
            <v>KBM-25H04-C (480 V)</v>
          </cell>
          <cell r="B567">
            <v>54.4</v>
          </cell>
          <cell r="C567">
            <v>38.5</v>
          </cell>
          <cell r="D567">
            <v>15.1</v>
          </cell>
          <cell r="E567">
            <v>8.6300000000000008</v>
          </cell>
          <cell r="N567">
            <v>8.0858978879934362</v>
          </cell>
          <cell r="O567">
            <v>3850</v>
          </cell>
          <cell r="P567">
            <v>4450</v>
          </cell>
          <cell r="Q567">
            <v>1.02</v>
          </cell>
          <cell r="R567">
            <v>1.66</v>
          </cell>
          <cell r="S567">
            <v>9.6</v>
          </cell>
          <cell r="T567">
            <v>108</v>
          </cell>
          <cell r="U567">
            <v>10</v>
          </cell>
        </row>
        <row r="568">
          <cell r="A568" t="str">
            <v>KBM-25H04-D (120 V)</v>
          </cell>
          <cell r="B568">
            <v>54.8</v>
          </cell>
          <cell r="C568">
            <v>48.5</v>
          </cell>
          <cell r="D568">
            <v>15</v>
          </cell>
          <cell r="E568">
            <v>10.7</v>
          </cell>
          <cell r="H568">
            <v>13.369015219719209</v>
          </cell>
          <cell r="I568">
            <v>1000</v>
          </cell>
          <cell r="P568">
            <v>1325</v>
          </cell>
          <cell r="Q568">
            <v>1.02</v>
          </cell>
          <cell r="R568">
            <v>1.08</v>
          </cell>
          <cell r="S568">
            <v>6.2</v>
          </cell>
          <cell r="T568">
            <v>87</v>
          </cell>
          <cell r="U568">
            <v>10</v>
          </cell>
        </row>
        <row r="569">
          <cell r="A569" t="str">
            <v>KBM-25H04-D (240 V)</v>
          </cell>
          <cell r="B569">
            <v>54.8</v>
          </cell>
          <cell r="C569">
            <v>48.5</v>
          </cell>
          <cell r="D569">
            <v>15</v>
          </cell>
          <cell r="E569">
            <v>10.7</v>
          </cell>
          <cell r="J569">
            <v>11.777465788800255</v>
          </cell>
          <cell r="K569">
            <v>2250</v>
          </cell>
          <cell r="P569">
            <v>2776</v>
          </cell>
          <cell r="Q569">
            <v>1.02</v>
          </cell>
          <cell r="R569">
            <v>1.08</v>
          </cell>
          <cell r="S569">
            <v>6.2</v>
          </cell>
          <cell r="T569">
            <v>87</v>
          </cell>
          <cell r="U569">
            <v>10</v>
          </cell>
        </row>
        <row r="570">
          <cell r="A570" t="str">
            <v>KBM-25H04-D (400 V)</v>
          </cell>
          <cell r="B570">
            <v>54.8</v>
          </cell>
          <cell r="C570">
            <v>48.5</v>
          </cell>
          <cell r="D570">
            <v>15</v>
          </cell>
          <cell r="E570">
            <v>10.7</v>
          </cell>
          <cell r="L570">
            <v>6.9376214952587638</v>
          </cell>
          <cell r="M570">
            <v>4150</v>
          </cell>
          <cell r="P570">
            <v>4626</v>
          </cell>
          <cell r="Q570">
            <v>1.02</v>
          </cell>
          <cell r="R570">
            <v>1.08</v>
          </cell>
          <cell r="S570">
            <v>6.2</v>
          </cell>
          <cell r="T570">
            <v>87</v>
          </cell>
          <cell r="U570">
            <v>10</v>
          </cell>
        </row>
        <row r="571">
          <cell r="A571" t="str">
            <v>KBM-25H04-D (480 V)</v>
          </cell>
          <cell r="B571">
            <v>54.8</v>
          </cell>
          <cell r="C571">
            <v>48.5</v>
          </cell>
          <cell r="D571">
            <v>15</v>
          </cell>
          <cell r="E571">
            <v>10.7</v>
          </cell>
          <cell r="N571">
            <v>4.0432128096111288</v>
          </cell>
          <cell r="O571">
            <v>4700</v>
          </cell>
          <cell r="P571">
            <v>5551</v>
          </cell>
          <cell r="Q571">
            <v>1.02</v>
          </cell>
          <cell r="R571">
            <v>1.08</v>
          </cell>
          <cell r="S571">
            <v>6.2</v>
          </cell>
          <cell r="T571">
            <v>87</v>
          </cell>
          <cell r="U571">
            <v>10</v>
          </cell>
        </row>
        <row r="572">
          <cell r="A572" t="str">
            <v>KBM-25H04-E (120 V)</v>
          </cell>
          <cell r="B572">
            <v>53.8</v>
          </cell>
          <cell r="C572">
            <v>62.5</v>
          </cell>
          <cell r="D572">
            <v>14.6</v>
          </cell>
          <cell r="E572">
            <v>13.8</v>
          </cell>
          <cell r="H572">
            <v>12.584608714480584</v>
          </cell>
          <cell r="I572">
            <v>1400</v>
          </cell>
          <cell r="P572">
            <v>1837</v>
          </cell>
          <cell r="Q572">
            <v>1.02</v>
          </cell>
          <cell r="R572">
            <v>0.65</v>
          </cell>
          <cell r="S572">
            <v>3.5</v>
          </cell>
          <cell r="T572">
            <v>65.5</v>
          </cell>
          <cell r="U572">
            <v>10</v>
          </cell>
        </row>
        <row r="573">
          <cell r="A573" t="str">
            <v>KBM-25H04-E (240 V)</v>
          </cell>
          <cell r="B573">
            <v>53.8</v>
          </cell>
          <cell r="C573">
            <v>62.5</v>
          </cell>
          <cell r="D573">
            <v>14.6</v>
          </cell>
          <cell r="E573">
            <v>13.8</v>
          </cell>
          <cell r="J573">
            <v>9.9719703688069501</v>
          </cell>
          <cell r="K573">
            <v>3050</v>
          </cell>
          <cell r="P573">
            <v>3681</v>
          </cell>
          <cell r="Q573">
            <v>1.02</v>
          </cell>
          <cell r="R573">
            <v>0.65</v>
          </cell>
          <cell r="S573">
            <v>3.5</v>
          </cell>
          <cell r="T573">
            <v>65.5</v>
          </cell>
          <cell r="U573">
            <v>10</v>
          </cell>
        </row>
        <row r="574">
          <cell r="A574" t="str">
            <v>KBM-25H04-E (400 V)</v>
          </cell>
          <cell r="B574">
            <v>53.8</v>
          </cell>
          <cell r="C574">
            <v>62.5</v>
          </cell>
          <cell r="D574">
            <v>14.6</v>
          </cell>
          <cell r="E574">
            <v>13.8</v>
          </cell>
          <cell r="L574">
            <v>4.5670548887239537</v>
          </cell>
          <cell r="M574">
            <v>4600</v>
          </cell>
          <cell r="P574">
            <v>6135</v>
          </cell>
          <cell r="Q574">
            <v>1.02</v>
          </cell>
          <cell r="R574">
            <v>0.65</v>
          </cell>
          <cell r="S574">
            <v>3.5</v>
          </cell>
          <cell r="T574">
            <v>65.5</v>
          </cell>
          <cell r="U574">
            <v>10</v>
          </cell>
        </row>
        <row r="575">
          <cell r="A575" t="str">
            <v>KBM-25H04-F (120 V)</v>
          </cell>
          <cell r="B575">
            <v>54.1</v>
          </cell>
          <cell r="C575">
            <v>89</v>
          </cell>
          <cell r="D575">
            <v>14.5</v>
          </cell>
          <cell r="E575">
            <v>19.399999999999999</v>
          </cell>
          <cell r="H575">
            <v>11.793381283109445</v>
          </cell>
          <cell r="I575">
            <v>2000</v>
          </cell>
          <cell r="P575">
            <v>2495</v>
          </cell>
          <cell r="Q575">
            <v>1.02</v>
          </cell>
          <cell r="R575">
            <v>0.33</v>
          </cell>
          <cell r="S575">
            <v>1.8</v>
          </cell>
          <cell r="T575">
            <v>46.3</v>
          </cell>
          <cell r="U575">
            <v>10</v>
          </cell>
        </row>
        <row r="576">
          <cell r="A576" t="str">
            <v>KBM-25H04-F (240 V)</v>
          </cell>
          <cell r="B576">
            <v>54.1</v>
          </cell>
          <cell r="C576">
            <v>89</v>
          </cell>
          <cell r="D576">
            <v>14.5</v>
          </cell>
          <cell r="E576">
            <v>19.399999999999999</v>
          </cell>
          <cell r="J576">
            <v>4.8481044203377346</v>
          </cell>
          <cell r="K576">
            <v>4550</v>
          </cell>
          <cell r="P576">
            <v>5206</v>
          </cell>
          <cell r="Q576">
            <v>1.02</v>
          </cell>
          <cell r="R576">
            <v>0.33</v>
          </cell>
          <cell r="S576">
            <v>1.8</v>
          </cell>
          <cell r="T576">
            <v>46.3</v>
          </cell>
          <cell r="U576">
            <v>10</v>
          </cell>
        </row>
        <row r="577">
          <cell r="A577" t="str">
            <v>KBM-25H04-G (120 V)</v>
          </cell>
          <cell r="B577">
            <v>54.5</v>
          </cell>
          <cell r="C577">
            <v>98</v>
          </cell>
          <cell r="D577">
            <v>14</v>
          </cell>
          <cell r="E577">
            <v>20.3</v>
          </cell>
          <cell r="H577">
            <v>11.77006323330761</v>
          </cell>
          <cell r="I577">
            <v>2150</v>
          </cell>
          <cell r="P577">
            <v>2701</v>
          </cell>
          <cell r="Q577">
            <v>1.02</v>
          </cell>
          <cell r="R577">
            <v>0.3</v>
          </cell>
          <cell r="S577">
            <v>1.5</v>
          </cell>
          <cell r="T577">
            <v>42.8</v>
          </cell>
          <cell r="U577">
            <v>10</v>
          </cell>
        </row>
        <row r="578">
          <cell r="A578" t="str">
            <v>KBM-25H04-G (240 V)</v>
          </cell>
          <cell r="B578">
            <v>54.5</v>
          </cell>
          <cell r="C578">
            <v>98</v>
          </cell>
          <cell r="D578">
            <v>14</v>
          </cell>
          <cell r="E578">
            <v>20.3</v>
          </cell>
          <cell r="J578">
            <v>4.8473059841683774</v>
          </cell>
          <cell r="K578">
            <v>4600</v>
          </cell>
          <cell r="P578">
            <v>5637</v>
          </cell>
          <cell r="Q578">
            <v>1.02</v>
          </cell>
          <cell r="R578">
            <v>0.3</v>
          </cell>
          <cell r="S578">
            <v>1.5</v>
          </cell>
          <cell r="T578">
            <v>42.8</v>
          </cell>
          <cell r="U578">
            <v>10</v>
          </cell>
        </row>
        <row r="579">
          <cell r="A579" t="str">
            <v>KBM-35H01-A (120 V)</v>
          </cell>
          <cell r="B579">
            <v>40.799999999999997</v>
          </cell>
          <cell r="C579">
            <v>21.9</v>
          </cell>
          <cell r="D579">
            <v>12.6</v>
          </cell>
          <cell r="E579">
            <v>5.41</v>
          </cell>
          <cell r="H579">
            <v>11.650141834326739</v>
          </cell>
          <cell r="I579">
            <v>500</v>
          </cell>
          <cell r="P579">
            <v>798</v>
          </cell>
          <cell r="Q579">
            <v>1.52</v>
          </cell>
          <cell r="R579">
            <v>4.13</v>
          </cell>
          <cell r="S579">
            <v>32</v>
          </cell>
          <cell r="T579">
            <v>144</v>
          </cell>
          <cell r="U579">
            <v>10</v>
          </cell>
        </row>
        <row r="580">
          <cell r="A580" t="str">
            <v>KBM-35H01-A (240 V)</v>
          </cell>
          <cell r="B580">
            <v>40.799999999999997</v>
          </cell>
          <cell r="C580">
            <v>21.9</v>
          </cell>
          <cell r="D580">
            <v>12.6</v>
          </cell>
          <cell r="E580">
            <v>5.41</v>
          </cell>
          <cell r="J580">
            <v>11.459155902616464</v>
          </cell>
          <cell r="K580">
            <v>1200</v>
          </cell>
          <cell r="P580">
            <v>1675</v>
          </cell>
          <cell r="Q580">
            <v>1.52</v>
          </cell>
          <cell r="R580">
            <v>4.13</v>
          </cell>
          <cell r="S580">
            <v>32</v>
          </cell>
          <cell r="T580">
            <v>144</v>
          </cell>
          <cell r="U580">
            <v>10</v>
          </cell>
        </row>
        <row r="581">
          <cell r="A581" t="str">
            <v>KBM-35H01-A (400 V)</v>
          </cell>
          <cell r="B581">
            <v>40.799999999999997</v>
          </cell>
          <cell r="C581">
            <v>21.9</v>
          </cell>
          <cell r="D581">
            <v>12.6</v>
          </cell>
          <cell r="E581">
            <v>5.41</v>
          </cell>
          <cell r="L581">
            <v>10.926171907145932</v>
          </cell>
          <cell r="M581">
            <v>2150</v>
          </cell>
          <cell r="P581">
            <v>2795</v>
          </cell>
          <cell r="Q581">
            <v>1.52</v>
          </cell>
          <cell r="R581">
            <v>4.13</v>
          </cell>
          <cell r="S581">
            <v>32</v>
          </cell>
          <cell r="T581">
            <v>144</v>
          </cell>
          <cell r="U581">
            <v>10</v>
          </cell>
        </row>
        <row r="582">
          <cell r="A582" t="str">
            <v>KBM-35H01-A (480 V)</v>
          </cell>
          <cell r="B582">
            <v>40.799999999999997</v>
          </cell>
          <cell r="C582">
            <v>21.9</v>
          </cell>
          <cell r="D582">
            <v>12.6</v>
          </cell>
          <cell r="E582">
            <v>5.41</v>
          </cell>
          <cell r="N582">
            <v>10.504226244065093</v>
          </cell>
          <cell r="O582">
            <v>2700</v>
          </cell>
          <cell r="P582">
            <v>3353</v>
          </cell>
          <cell r="Q582">
            <v>1.52</v>
          </cell>
          <cell r="R582">
            <v>4.13</v>
          </cell>
          <cell r="S582">
            <v>32</v>
          </cell>
          <cell r="T582">
            <v>144</v>
          </cell>
          <cell r="U582">
            <v>10</v>
          </cell>
        </row>
        <row r="583">
          <cell r="A583" t="str">
            <v>KBM-35H01-B (120 V)</v>
          </cell>
          <cell r="B583">
            <v>41.4</v>
          </cell>
          <cell r="C583">
            <v>24.5</v>
          </cell>
          <cell r="D583">
            <v>12.45</v>
          </cell>
          <cell r="E583">
            <v>6.1</v>
          </cell>
          <cell r="H583">
            <v>11.632779476898532</v>
          </cell>
          <cell r="I583">
            <v>550</v>
          </cell>
          <cell r="P583">
            <v>901</v>
          </cell>
          <cell r="Q583">
            <v>1.52</v>
          </cell>
          <cell r="R583">
            <v>3.3</v>
          </cell>
          <cell r="S583">
            <v>25</v>
          </cell>
          <cell r="T583">
            <v>127</v>
          </cell>
          <cell r="U583">
            <v>10</v>
          </cell>
        </row>
        <row r="584">
          <cell r="A584" t="str">
            <v>KBM-35H01-B (240 V)</v>
          </cell>
          <cell r="B584">
            <v>41.4</v>
          </cell>
          <cell r="C584">
            <v>24.5</v>
          </cell>
          <cell r="D584">
            <v>12.45</v>
          </cell>
          <cell r="E584">
            <v>6.1</v>
          </cell>
          <cell r="J584">
            <v>11.275515583664278</v>
          </cell>
          <cell r="K584">
            <v>1300</v>
          </cell>
          <cell r="P584">
            <v>1892</v>
          </cell>
          <cell r="Q584">
            <v>1.52</v>
          </cell>
          <cell r="R584">
            <v>3.3</v>
          </cell>
          <cell r="S584">
            <v>25</v>
          </cell>
          <cell r="T584">
            <v>127</v>
          </cell>
          <cell r="U584">
            <v>10</v>
          </cell>
        </row>
        <row r="585">
          <cell r="A585" t="str">
            <v>KBM-35H01-B (400 V)</v>
          </cell>
          <cell r="B585">
            <v>41.4</v>
          </cell>
          <cell r="C585">
            <v>24.5</v>
          </cell>
          <cell r="D585">
            <v>12.45</v>
          </cell>
          <cell r="E585">
            <v>6.1</v>
          </cell>
          <cell r="L585">
            <v>10.646449810232319</v>
          </cell>
          <cell r="M585">
            <v>2350</v>
          </cell>
          <cell r="P585">
            <v>3153</v>
          </cell>
          <cell r="Q585">
            <v>1.52</v>
          </cell>
          <cell r="R585">
            <v>3.3</v>
          </cell>
          <cell r="S585">
            <v>25</v>
          </cell>
          <cell r="T585">
            <v>127</v>
          </cell>
          <cell r="U585">
            <v>10</v>
          </cell>
        </row>
        <row r="586">
          <cell r="A586" t="str">
            <v>KBM-35H01-B (480 V)</v>
          </cell>
          <cell r="B586">
            <v>41.4</v>
          </cell>
          <cell r="C586">
            <v>24.5</v>
          </cell>
          <cell r="D586">
            <v>12.45</v>
          </cell>
          <cell r="E586">
            <v>6.1</v>
          </cell>
          <cell r="N586">
            <v>10.207868763825012</v>
          </cell>
          <cell r="O586">
            <v>2900</v>
          </cell>
          <cell r="P586">
            <v>3783</v>
          </cell>
          <cell r="Q586">
            <v>1.52</v>
          </cell>
          <cell r="R586">
            <v>3.3</v>
          </cell>
          <cell r="S586">
            <v>25</v>
          </cell>
          <cell r="T586">
            <v>127</v>
          </cell>
          <cell r="U586">
            <v>10</v>
          </cell>
        </row>
        <row r="587">
          <cell r="A587" t="str">
            <v>KBM-35H01-C (120 V)</v>
          </cell>
          <cell r="B587">
            <v>40.799999999999997</v>
          </cell>
          <cell r="C587">
            <v>34.700000000000003</v>
          </cell>
          <cell r="D587">
            <v>12.45</v>
          </cell>
          <cell r="E587">
            <v>8.32</v>
          </cell>
          <cell r="H587">
            <v>11.482589759268032</v>
          </cell>
          <cell r="I587">
            <v>815</v>
          </cell>
          <cell r="P587">
            <v>1242</v>
          </cell>
          <cell r="Q587">
            <v>1.52</v>
          </cell>
          <cell r="R587">
            <v>1.75</v>
          </cell>
          <cell r="S587">
            <v>13.4</v>
          </cell>
          <cell r="T587">
            <v>93</v>
          </cell>
          <cell r="U587">
            <v>10</v>
          </cell>
        </row>
        <row r="588">
          <cell r="A588" t="str">
            <v>KBM-35H01-C (240 V)</v>
          </cell>
          <cell r="B588">
            <v>40.799999999999997</v>
          </cell>
          <cell r="C588">
            <v>34.700000000000003</v>
          </cell>
          <cell r="D588">
            <v>12.45</v>
          </cell>
          <cell r="E588">
            <v>8.32</v>
          </cell>
          <cell r="J588">
            <v>10.976501238239955</v>
          </cell>
          <cell r="K588">
            <v>1840</v>
          </cell>
          <cell r="P588">
            <v>2600</v>
          </cell>
          <cell r="Q588">
            <v>1.52</v>
          </cell>
          <cell r="R588">
            <v>1.75</v>
          </cell>
          <cell r="S588">
            <v>13.4</v>
          </cell>
          <cell r="T588">
            <v>93</v>
          </cell>
          <cell r="U588">
            <v>10</v>
          </cell>
        </row>
        <row r="589">
          <cell r="A589" t="str">
            <v>KBM-35H01-C (400 V)</v>
          </cell>
          <cell r="B589">
            <v>40.799999999999997</v>
          </cell>
          <cell r="C589">
            <v>34.700000000000003</v>
          </cell>
          <cell r="D589">
            <v>12.45</v>
          </cell>
          <cell r="E589">
            <v>8.32</v>
          </cell>
          <cell r="L589">
            <v>9.6876921882023268</v>
          </cell>
          <cell r="M589">
            <v>3450</v>
          </cell>
          <cell r="P589">
            <v>4334</v>
          </cell>
          <cell r="Q589">
            <v>1.52</v>
          </cell>
          <cell r="R589">
            <v>1.75</v>
          </cell>
          <cell r="S589">
            <v>13.4</v>
          </cell>
          <cell r="T589">
            <v>93</v>
          </cell>
          <cell r="U589">
            <v>10</v>
          </cell>
        </row>
        <row r="590">
          <cell r="A590" t="str">
            <v>KBM-35H01-C (480 V)</v>
          </cell>
          <cell r="B590">
            <v>40.799999999999997</v>
          </cell>
          <cell r="C590">
            <v>34.700000000000003</v>
          </cell>
          <cell r="D590">
            <v>12.45</v>
          </cell>
          <cell r="E590">
            <v>8.32</v>
          </cell>
          <cell r="N590">
            <v>8.8330993416001924</v>
          </cell>
          <cell r="O590">
            <v>4200</v>
          </cell>
          <cell r="P590">
            <v>5201</v>
          </cell>
          <cell r="Q590">
            <v>1.52</v>
          </cell>
          <cell r="R590">
            <v>1.75</v>
          </cell>
          <cell r="S590">
            <v>13.4</v>
          </cell>
          <cell r="T590">
            <v>93</v>
          </cell>
          <cell r="U590">
            <v>10</v>
          </cell>
        </row>
        <row r="591">
          <cell r="A591" t="str">
            <v>KBM-35H01-D (120 V)</v>
          </cell>
          <cell r="B591">
            <v>41.2</v>
          </cell>
          <cell r="C591">
            <v>43.5</v>
          </cell>
          <cell r="D591">
            <v>12.65</v>
          </cell>
          <cell r="E591">
            <v>10.57</v>
          </cell>
          <cell r="H591">
            <v>11.589373583328015</v>
          </cell>
          <cell r="I591">
            <v>1100</v>
          </cell>
          <cell r="P591">
            <v>1556</v>
          </cell>
          <cell r="Q591">
            <v>1.52</v>
          </cell>
          <cell r="R591">
            <v>1.08</v>
          </cell>
          <cell r="S591">
            <v>8.5</v>
          </cell>
          <cell r="T591">
            <v>74</v>
          </cell>
          <cell r="U591">
            <v>10</v>
          </cell>
        </row>
        <row r="592">
          <cell r="A592" t="str">
            <v>KBM-35H01-D (240 V)</v>
          </cell>
          <cell r="B592">
            <v>41.2</v>
          </cell>
          <cell r="C592">
            <v>43.5</v>
          </cell>
          <cell r="D592">
            <v>12.65</v>
          </cell>
          <cell r="E592">
            <v>10.57</v>
          </cell>
          <cell r="J592">
            <v>10.757574928986886</v>
          </cell>
          <cell r="K592">
            <v>2450</v>
          </cell>
          <cell r="P592">
            <v>3252</v>
          </cell>
          <cell r="Q592">
            <v>1.52</v>
          </cell>
          <cell r="R592">
            <v>1.08</v>
          </cell>
          <cell r="S592">
            <v>8.5</v>
          </cell>
          <cell r="T592">
            <v>74</v>
          </cell>
          <cell r="U592">
            <v>10</v>
          </cell>
        </row>
        <row r="593">
          <cell r="A593" t="str">
            <v>KBM-35H01-D (400 V)</v>
          </cell>
          <cell r="B593">
            <v>41.2</v>
          </cell>
          <cell r="C593">
            <v>43.5</v>
          </cell>
          <cell r="D593">
            <v>12.65</v>
          </cell>
          <cell r="E593">
            <v>10.57</v>
          </cell>
          <cell r="L593">
            <v>8.4999233343583658</v>
          </cell>
          <cell r="M593">
            <v>4550</v>
          </cell>
          <cell r="P593">
            <v>5420</v>
          </cell>
          <cell r="Q593">
            <v>1.52</v>
          </cell>
          <cell r="R593">
            <v>1.08</v>
          </cell>
          <cell r="S593">
            <v>8.5</v>
          </cell>
          <cell r="T593">
            <v>74</v>
          </cell>
          <cell r="U593">
            <v>10</v>
          </cell>
        </row>
        <row r="594">
          <cell r="A594" t="str">
            <v>KBM-35H01-D (480 V)</v>
          </cell>
          <cell r="B594">
            <v>41.2</v>
          </cell>
          <cell r="C594">
            <v>43.5</v>
          </cell>
          <cell r="D594">
            <v>12.65</v>
          </cell>
          <cell r="E594">
            <v>10.57</v>
          </cell>
          <cell r="N594">
            <v>6.1741141716683536</v>
          </cell>
          <cell r="O594">
            <v>5800</v>
          </cell>
          <cell r="P594">
            <v>6505</v>
          </cell>
          <cell r="Q594">
            <v>1.52</v>
          </cell>
          <cell r="R594">
            <v>1.08</v>
          </cell>
          <cell r="S594">
            <v>8.5</v>
          </cell>
          <cell r="T594">
            <v>74</v>
          </cell>
          <cell r="U594">
            <v>10</v>
          </cell>
        </row>
        <row r="595">
          <cell r="A595" t="str">
            <v>KBM-35H01-E (120 V)</v>
          </cell>
          <cell r="B595">
            <v>41.1</v>
          </cell>
          <cell r="C595">
            <v>55.4</v>
          </cell>
          <cell r="D595">
            <v>12.2</v>
          </cell>
          <cell r="E595">
            <v>12.8</v>
          </cell>
          <cell r="H595">
            <v>10.777063289365486</v>
          </cell>
          <cell r="I595">
            <v>1400</v>
          </cell>
          <cell r="P595">
            <v>1996</v>
          </cell>
          <cell r="Q595">
            <v>1.52</v>
          </cell>
          <cell r="R595">
            <v>0.74</v>
          </cell>
          <cell r="S595">
            <v>5.4</v>
          </cell>
          <cell r="T595">
            <v>57.8</v>
          </cell>
          <cell r="U595">
            <v>10</v>
          </cell>
        </row>
        <row r="596">
          <cell r="A596" t="str">
            <v>KBM-35H01-E (240 V)</v>
          </cell>
          <cell r="B596">
            <v>41.1</v>
          </cell>
          <cell r="C596">
            <v>55.4</v>
          </cell>
          <cell r="D596">
            <v>12.2</v>
          </cell>
          <cell r="E596">
            <v>12.8</v>
          </cell>
          <cell r="J596">
            <v>9.5955028593145926</v>
          </cell>
          <cell r="K596">
            <v>3100</v>
          </cell>
          <cell r="P596">
            <v>4166</v>
          </cell>
          <cell r="Q596">
            <v>1.52</v>
          </cell>
          <cell r="R596">
            <v>0.74</v>
          </cell>
          <cell r="S596">
            <v>5.4</v>
          </cell>
          <cell r="T596">
            <v>57.8</v>
          </cell>
          <cell r="U596">
            <v>10</v>
          </cell>
        </row>
        <row r="597">
          <cell r="A597" t="str">
            <v>KBM-35H01-E (400 V)</v>
          </cell>
          <cell r="B597">
            <v>41.1</v>
          </cell>
          <cell r="C597">
            <v>55.4</v>
          </cell>
          <cell r="D597">
            <v>12.2</v>
          </cell>
          <cell r="E597">
            <v>12.8</v>
          </cell>
          <cell r="L597">
            <v>5.1268764455012183</v>
          </cell>
          <cell r="M597">
            <v>6100</v>
          </cell>
          <cell r="P597">
            <v>6943</v>
          </cell>
          <cell r="Q597">
            <v>1.52</v>
          </cell>
          <cell r="R597">
            <v>0.74</v>
          </cell>
          <cell r="S597">
            <v>5.4</v>
          </cell>
          <cell r="T597">
            <v>57.8</v>
          </cell>
          <cell r="U597">
            <v>10</v>
          </cell>
        </row>
        <row r="598">
          <cell r="A598" t="str">
            <v>KBM-35H01-F (120 V)</v>
          </cell>
          <cell r="B598">
            <v>41.1</v>
          </cell>
          <cell r="C598">
            <v>62.1</v>
          </cell>
          <cell r="D598">
            <v>12.4</v>
          </cell>
          <cell r="E598">
            <v>14.58</v>
          </cell>
          <cell r="H598">
            <v>11.071215728829969</v>
          </cell>
          <cell r="I598">
            <v>1600</v>
          </cell>
          <cell r="P598">
            <v>2288</v>
          </cell>
          <cell r="Q598">
            <v>1.52</v>
          </cell>
          <cell r="R598">
            <v>0.56999999999999995</v>
          </cell>
          <cell r="S598">
            <v>4.4000000000000004</v>
          </cell>
          <cell r="T598">
            <v>52.6</v>
          </cell>
          <cell r="U598">
            <v>10</v>
          </cell>
        </row>
        <row r="599">
          <cell r="A599" t="str">
            <v>KBM-35H01-F (240 V)</v>
          </cell>
          <cell r="B599">
            <v>41.1</v>
          </cell>
          <cell r="C599">
            <v>62.1</v>
          </cell>
          <cell r="D599">
            <v>12.4</v>
          </cell>
          <cell r="E599">
            <v>14.58</v>
          </cell>
          <cell r="J599">
            <v>9.4962449378164226</v>
          </cell>
          <cell r="K599">
            <v>3600</v>
          </cell>
          <cell r="P599">
            <v>4576</v>
          </cell>
          <cell r="Q599">
            <v>1.52</v>
          </cell>
          <cell r="R599">
            <v>0.56999999999999995</v>
          </cell>
          <cell r="S599">
            <v>4.4000000000000004</v>
          </cell>
          <cell r="T599">
            <v>52.6</v>
          </cell>
          <cell r="U599">
            <v>10</v>
          </cell>
        </row>
        <row r="600">
          <cell r="A600" t="str">
            <v>KBM-35H01-F (400 V)</v>
          </cell>
          <cell r="B600">
            <v>41.1</v>
          </cell>
          <cell r="C600">
            <v>62.1</v>
          </cell>
          <cell r="D600">
            <v>12.4</v>
          </cell>
          <cell r="E600">
            <v>14.58</v>
          </cell>
          <cell r="L600">
            <v>3.7039695846841094</v>
          </cell>
          <cell r="M600">
            <v>6600</v>
          </cell>
          <cell r="P600">
            <v>7200</v>
          </cell>
          <cell r="Q600">
            <v>1.52</v>
          </cell>
          <cell r="R600">
            <v>0.56999999999999995</v>
          </cell>
          <cell r="S600">
            <v>4.4000000000000004</v>
          </cell>
          <cell r="T600">
            <v>52.6</v>
          </cell>
          <cell r="U600">
            <v>10</v>
          </cell>
        </row>
        <row r="601">
          <cell r="A601" t="str">
            <v>KBM-35H01-G (120 V)</v>
          </cell>
          <cell r="B601">
            <v>41.2</v>
          </cell>
          <cell r="C601">
            <v>87.4</v>
          </cell>
          <cell r="D601">
            <v>12.4</v>
          </cell>
          <cell r="E601">
            <v>20.100000000000001</v>
          </cell>
          <cell r="H601">
            <v>10.605814505613111</v>
          </cell>
          <cell r="I601">
            <v>2350</v>
          </cell>
          <cell r="P601">
            <v>3026</v>
          </cell>
          <cell r="Q601">
            <v>1.52</v>
          </cell>
          <cell r="R601">
            <v>0.3</v>
          </cell>
          <cell r="S601">
            <v>2.2000000000000002</v>
          </cell>
          <cell r="T601">
            <v>38.1</v>
          </cell>
          <cell r="U601">
            <v>10</v>
          </cell>
        </row>
        <row r="602">
          <cell r="A602" t="str">
            <v>KBM-35H01-G (240 V)</v>
          </cell>
          <cell r="B602">
            <v>41.2</v>
          </cell>
          <cell r="C602">
            <v>87.4</v>
          </cell>
          <cell r="D602">
            <v>12.4</v>
          </cell>
          <cell r="E602">
            <v>20.100000000000001</v>
          </cell>
          <cell r="J602">
            <v>7.1259373576805212</v>
          </cell>
          <cell r="K602">
            <v>5300</v>
          </cell>
          <cell r="P602">
            <v>6316</v>
          </cell>
          <cell r="Q602">
            <v>1.52</v>
          </cell>
          <cell r="R602">
            <v>0.3</v>
          </cell>
          <cell r="S602">
            <v>2.2000000000000002</v>
          </cell>
          <cell r="T602">
            <v>38.1</v>
          </cell>
          <cell r="U602">
            <v>10</v>
          </cell>
        </row>
        <row r="603">
          <cell r="A603" t="str">
            <v>KBM-35H01-H (120 V)</v>
          </cell>
          <cell r="B603">
            <v>41.4</v>
          </cell>
          <cell r="C603">
            <v>98</v>
          </cell>
          <cell r="D603">
            <v>12.2</v>
          </cell>
          <cell r="E603">
            <v>21.2</v>
          </cell>
          <cell r="H603">
            <v>10.313240312354818</v>
          </cell>
          <cell r="I603">
            <v>2500</v>
          </cell>
          <cell r="P603">
            <v>3237</v>
          </cell>
          <cell r="Q603">
            <v>1.52</v>
          </cell>
          <cell r="R603">
            <v>0.27</v>
          </cell>
          <cell r="S603">
            <v>1.6</v>
          </cell>
          <cell r="T603">
            <v>35.700000000000003</v>
          </cell>
          <cell r="U603">
            <v>10</v>
          </cell>
        </row>
        <row r="604">
          <cell r="A604" t="str">
            <v>KBM-35H01-H (240 V)</v>
          </cell>
          <cell r="B604">
            <v>41.4</v>
          </cell>
          <cell r="C604">
            <v>98</v>
          </cell>
          <cell r="D604">
            <v>12.2</v>
          </cell>
          <cell r="E604">
            <v>21.2</v>
          </cell>
          <cell r="J604">
            <v>6.3605136185653901</v>
          </cell>
          <cell r="K604">
            <v>5600</v>
          </cell>
          <cell r="P604">
            <v>6756</v>
          </cell>
          <cell r="Q604">
            <v>1.52</v>
          </cell>
          <cell r="R604">
            <v>0.27</v>
          </cell>
          <cell r="S604">
            <v>1.6</v>
          </cell>
          <cell r="T604">
            <v>35.700000000000003</v>
          </cell>
          <cell r="U604">
            <v>10</v>
          </cell>
        </row>
        <row r="605">
          <cell r="A605" t="str">
            <v>KBM-35H02-A (120 V)</v>
          </cell>
          <cell r="B605">
            <v>58.8</v>
          </cell>
          <cell r="C605">
            <v>22.5</v>
          </cell>
          <cell r="D605">
            <v>17.3</v>
          </cell>
          <cell r="E605">
            <v>4.97</v>
          </cell>
          <cell r="H605">
            <v>16.160348067792452</v>
          </cell>
          <cell r="I605">
            <v>325</v>
          </cell>
          <cell r="P605">
            <v>531</v>
          </cell>
          <cell r="Q605">
            <v>2.2799999999999998</v>
          </cell>
          <cell r="R605">
            <v>5.5</v>
          </cell>
          <cell r="S605">
            <v>44</v>
          </cell>
          <cell r="T605">
            <v>215</v>
          </cell>
          <cell r="U605">
            <v>10</v>
          </cell>
        </row>
        <row r="606">
          <cell r="A606" t="str">
            <v>KBM-35H02-A (240 V)</v>
          </cell>
          <cell r="B606">
            <v>58.8</v>
          </cell>
          <cell r="C606">
            <v>22.5</v>
          </cell>
          <cell r="D606">
            <v>17.3</v>
          </cell>
          <cell r="E606">
            <v>4.97</v>
          </cell>
          <cell r="J606">
            <v>15.875705573416559</v>
          </cell>
          <cell r="K606">
            <v>800</v>
          </cell>
          <cell r="P606">
            <v>1114</v>
          </cell>
          <cell r="Q606">
            <v>2.2799999999999998</v>
          </cell>
          <cell r="R606">
            <v>5.5</v>
          </cell>
          <cell r="S606">
            <v>44</v>
          </cell>
          <cell r="T606">
            <v>215</v>
          </cell>
          <cell r="U606">
            <v>10</v>
          </cell>
        </row>
        <row r="607">
          <cell r="A607" t="str">
            <v>KBM-35H02-A (400 V)</v>
          </cell>
          <cell r="B607">
            <v>58.8</v>
          </cell>
          <cell r="C607">
            <v>22.5</v>
          </cell>
          <cell r="D607">
            <v>17.3</v>
          </cell>
          <cell r="E607">
            <v>4.97</v>
          </cell>
          <cell r="L607">
            <v>15.311803145737517</v>
          </cell>
          <cell r="M607">
            <v>1450</v>
          </cell>
          <cell r="P607">
            <v>1863</v>
          </cell>
          <cell r="Q607">
            <v>2.2799999999999998</v>
          </cell>
          <cell r="R607">
            <v>5.5</v>
          </cell>
          <cell r="S607">
            <v>44</v>
          </cell>
          <cell r="T607">
            <v>215</v>
          </cell>
          <cell r="U607">
            <v>10</v>
          </cell>
        </row>
        <row r="608">
          <cell r="A608" t="str">
            <v>KBM-35H02-A (480 V)</v>
          </cell>
          <cell r="B608">
            <v>58.8</v>
          </cell>
          <cell r="C608">
            <v>22.5</v>
          </cell>
          <cell r="D608">
            <v>17.3</v>
          </cell>
          <cell r="E608">
            <v>4.97</v>
          </cell>
          <cell r="N608">
            <v>15.006037491521562</v>
          </cell>
          <cell r="O608">
            <v>1750</v>
          </cell>
          <cell r="P608">
            <v>2235</v>
          </cell>
          <cell r="Q608">
            <v>2.2799999999999998</v>
          </cell>
          <cell r="R608">
            <v>5.5</v>
          </cell>
          <cell r="S608">
            <v>44</v>
          </cell>
          <cell r="T608">
            <v>215</v>
          </cell>
          <cell r="U608">
            <v>10</v>
          </cell>
        </row>
        <row r="609">
          <cell r="A609" t="str">
            <v>KBM-35H02-B (120 V)</v>
          </cell>
          <cell r="B609">
            <v>58.8</v>
          </cell>
          <cell r="C609">
            <v>28</v>
          </cell>
          <cell r="D609">
            <v>17.600000000000001</v>
          </cell>
          <cell r="E609">
            <v>6.3</v>
          </cell>
          <cell r="H609">
            <v>16.472536610011169</v>
          </cell>
          <cell r="I609">
            <v>400</v>
          </cell>
          <cell r="P609">
            <v>661</v>
          </cell>
          <cell r="Q609">
            <v>2.2799999999999998</v>
          </cell>
          <cell r="R609">
            <v>3.43</v>
          </cell>
          <cell r="S609">
            <v>28</v>
          </cell>
          <cell r="T609">
            <v>174</v>
          </cell>
          <cell r="U609">
            <v>10</v>
          </cell>
        </row>
        <row r="610">
          <cell r="A610" t="str">
            <v>KBM-35H02-B (240 V)</v>
          </cell>
          <cell r="B610">
            <v>58.8</v>
          </cell>
          <cell r="C610">
            <v>28</v>
          </cell>
          <cell r="D610">
            <v>17.600000000000001</v>
          </cell>
          <cell r="E610">
            <v>6.3</v>
          </cell>
          <cell r="J610">
            <v>16.083025828233634</v>
          </cell>
          <cell r="K610">
            <v>950</v>
          </cell>
          <cell r="P610">
            <v>1386</v>
          </cell>
          <cell r="Q610">
            <v>2.2799999999999998</v>
          </cell>
          <cell r="R610">
            <v>3.43</v>
          </cell>
          <cell r="S610">
            <v>28</v>
          </cell>
          <cell r="T610">
            <v>174</v>
          </cell>
          <cell r="U610">
            <v>10</v>
          </cell>
        </row>
        <row r="611">
          <cell r="A611" t="str">
            <v>KBM-35H02-B (400 V)</v>
          </cell>
          <cell r="B611">
            <v>58.8</v>
          </cell>
          <cell r="C611">
            <v>28</v>
          </cell>
          <cell r="D611">
            <v>17.600000000000001</v>
          </cell>
          <cell r="E611">
            <v>6.3</v>
          </cell>
          <cell r="L611">
            <v>15.305400360670603</v>
          </cell>
          <cell r="M611">
            <v>1800</v>
          </cell>
          <cell r="P611">
            <v>2313</v>
          </cell>
          <cell r="Q611">
            <v>2.2799999999999998</v>
          </cell>
          <cell r="R611">
            <v>3.43</v>
          </cell>
          <cell r="S611">
            <v>28</v>
          </cell>
          <cell r="T611">
            <v>174</v>
          </cell>
          <cell r="U611">
            <v>10</v>
          </cell>
        </row>
        <row r="612">
          <cell r="A612" t="str">
            <v>KBM-35H02-B (480 V)</v>
          </cell>
          <cell r="B612">
            <v>58.8</v>
          </cell>
          <cell r="C612">
            <v>28</v>
          </cell>
          <cell r="D612">
            <v>17.600000000000001</v>
          </cell>
          <cell r="E612">
            <v>6.3</v>
          </cell>
          <cell r="N612">
            <v>14.823112654331526</v>
          </cell>
          <cell r="O612">
            <v>2200</v>
          </cell>
          <cell r="P612">
            <v>2776</v>
          </cell>
          <cell r="Q612">
            <v>2.2799999999999998</v>
          </cell>
          <cell r="R612">
            <v>3.43</v>
          </cell>
          <cell r="S612">
            <v>28</v>
          </cell>
          <cell r="T612">
            <v>174</v>
          </cell>
          <cell r="U612">
            <v>10</v>
          </cell>
        </row>
        <row r="613">
          <cell r="A613" t="str">
            <v>KBM-35H02-C (120 V)</v>
          </cell>
          <cell r="B613">
            <v>59.2</v>
          </cell>
          <cell r="C613">
            <v>39.200000000000003</v>
          </cell>
          <cell r="D613">
            <v>17.5</v>
          </cell>
          <cell r="E613">
            <v>8.6999999999999993</v>
          </cell>
          <cell r="H613">
            <v>16.119212636347161</v>
          </cell>
          <cell r="I613">
            <v>625</v>
          </cell>
          <cell r="P613">
            <v>923</v>
          </cell>
          <cell r="Q613">
            <v>2.2799999999999998</v>
          </cell>
          <cell r="R613">
            <v>1.8</v>
          </cell>
          <cell r="S613">
            <v>14.6</v>
          </cell>
          <cell r="T613">
            <v>124</v>
          </cell>
          <cell r="U613">
            <v>10</v>
          </cell>
        </row>
        <row r="614">
          <cell r="A614" t="str">
            <v>KBM-35H02-C (240 V)</v>
          </cell>
          <cell r="B614">
            <v>59.2</v>
          </cell>
          <cell r="C614">
            <v>39.200000000000003</v>
          </cell>
          <cell r="D614">
            <v>17.5</v>
          </cell>
          <cell r="E614">
            <v>8.6999999999999993</v>
          </cell>
          <cell r="J614">
            <v>15.48350232079725</v>
          </cell>
          <cell r="K614">
            <v>1400</v>
          </cell>
          <cell r="P614">
            <v>1935</v>
          </cell>
          <cell r="Q614">
            <v>2.2799999999999998</v>
          </cell>
          <cell r="R614">
            <v>1.8</v>
          </cell>
          <cell r="S614">
            <v>14.6</v>
          </cell>
          <cell r="T614">
            <v>124</v>
          </cell>
          <cell r="U614">
            <v>10</v>
          </cell>
        </row>
        <row r="615">
          <cell r="A615" t="str">
            <v>KBM-35H02-C (400 V)</v>
          </cell>
          <cell r="B615">
            <v>59.2</v>
          </cell>
          <cell r="C615">
            <v>39.200000000000003</v>
          </cell>
          <cell r="D615">
            <v>17.5</v>
          </cell>
          <cell r="E615">
            <v>8.6999999999999993</v>
          </cell>
          <cell r="L615">
            <v>14.155427879702691</v>
          </cell>
          <cell r="M615">
            <v>2550</v>
          </cell>
          <cell r="P615">
            <v>3224</v>
          </cell>
          <cell r="Q615">
            <v>2.2799999999999998</v>
          </cell>
          <cell r="R615">
            <v>1.8</v>
          </cell>
          <cell r="S615">
            <v>14.6</v>
          </cell>
          <cell r="T615">
            <v>124</v>
          </cell>
          <cell r="U615">
            <v>10</v>
          </cell>
        </row>
        <row r="616">
          <cell r="A616" t="str">
            <v>KBM-35H02-C (480 V)</v>
          </cell>
          <cell r="B616">
            <v>59.2</v>
          </cell>
          <cell r="C616">
            <v>39.200000000000003</v>
          </cell>
          <cell r="D616">
            <v>17.5</v>
          </cell>
          <cell r="E616">
            <v>8.6999999999999993</v>
          </cell>
          <cell r="N616">
            <v>13.100441253251635</v>
          </cell>
          <cell r="O616">
            <v>3200</v>
          </cell>
          <cell r="P616">
            <v>3869</v>
          </cell>
          <cell r="Q616">
            <v>2.2799999999999998</v>
          </cell>
          <cell r="R616">
            <v>1.8</v>
          </cell>
          <cell r="S616">
            <v>14.6</v>
          </cell>
          <cell r="T616">
            <v>124</v>
          </cell>
          <cell r="U616">
            <v>10</v>
          </cell>
        </row>
        <row r="617">
          <cell r="A617" t="str">
            <v>KBM-35H02-D (120 V)</v>
          </cell>
          <cell r="B617">
            <v>59.4</v>
          </cell>
          <cell r="C617">
            <v>49.5</v>
          </cell>
          <cell r="D617">
            <v>17.45</v>
          </cell>
          <cell r="E617">
            <v>10.92</v>
          </cell>
          <cell r="H617">
            <v>15.952942531093511</v>
          </cell>
          <cell r="I617">
            <v>850</v>
          </cell>
          <cell r="P617">
            <v>1165</v>
          </cell>
          <cell r="Q617">
            <v>2.2799999999999998</v>
          </cell>
          <cell r="R617">
            <v>1.1399999999999999</v>
          </cell>
          <cell r="S617">
            <v>9.3000000000000007</v>
          </cell>
          <cell r="T617">
            <v>99</v>
          </cell>
          <cell r="U617">
            <v>10</v>
          </cell>
        </row>
        <row r="618">
          <cell r="A618" t="str">
            <v>KBM-35H02-D (240 V)</v>
          </cell>
          <cell r="B618">
            <v>59.4</v>
          </cell>
          <cell r="C618">
            <v>49.5</v>
          </cell>
          <cell r="D618">
            <v>17.45</v>
          </cell>
          <cell r="E618">
            <v>10.92</v>
          </cell>
          <cell r="J618">
            <v>15.020785439916175</v>
          </cell>
          <cell r="K618">
            <v>1850</v>
          </cell>
          <cell r="P618">
            <v>2437</v>
          </cell>
          <cell r="Q618">
            <v>2.2799999999999998</v>
          </cell>
          <cell r="R618">
            <v>1.1399999999999999</v>
          </cell>
          <cell r="S618">
            <v>9.3000000000000007</v>
          </cell>
          <cell r="T618">
            <v>99</v>
          </cell>
          <cell r="U618">
            <v>10</v>
          </cell>
        </row>
        <row r="619">
          <cell r="A619" t="str">
            <v>KBM-35H02-D (400 V)</v>
          </cell>
          <cell r="B619">
            <v>59.4</v>
          </cell>
          <cell r="C619">
            <v>49.5</v>
          </cell>
          <cell r="D619">
            <v>17.45</v>
          </cell>
          <cell r="E619">
            <v>10.92</v>
          </cell>
          <cell r="L619">
            <v>12.441369265697876</v>
          </cell>
          <cell r="M619">
            <v>3500</v>
          </cell>
          <cell r="P619">
            <v>4061</v>
          </cell>
          <cell r="Q619">
            <v>2.2799999999999998</v>
          </cell>
          <cell r="R619">
            <v>1.1399999999999999</v>
          </cell>
          <cell r="S619">
            <v>9.3000000000000007</v>
          </cell>
          <cell r="T619">
            <v>99</v>
          </cell>
          <cell r="U619">
            <v>10</v>
          </cell>
        </row>
        <row r="620">
          <cell r="A620" t="str">
            <v>KBM-35H02-D (480 V)</v>
          </cell>
          <cell r="B620">
            <v>59.4</v>
          </cell>
          <cell r="C620">
            <v>49.5</v>
          </cell>
          <cell r="D620">
            <v>17.45</v>
          </cell>
          <cell r="E620">
            <v>10.92</v>
          </cell>
          <cell r="N620">
            <v>10.548641577020971</v>
          </cell>
          <cell r="O620">
            <v>4300</v>
          </cell>
          <cell r="P620">
            <v>4873</v>
          </cell>
          <cell r="Q620">
            <v>2.2799999999999998</v>
          </cell>
          <cell r="R620">
            <v>1.1399999999999999</v>
          </cell>
          <cell r="S620">
            <v>9.3000000000000007</v>
          </cell>
          <cell r="T620">
            <v>99</v>
          </cell>
          <cell r="U620">
            <v>10</v>
          </cell>
        </row>
        <row r="621">
          <cell r="A621" t="str">
            <v>KBM-35H02-E (120 V)</v>
          </cell>
          <cell r="B621">
            <v>59.4</v>
          </cell>
          <cell r="C621">
            <v>55.4</v>
          </cell>
          <cell r="D621">
            <v>17.100000000000001</v>
          </cell>
          <cell r="E621">
            <v>12</v>
          </cell>
          <cell r="H621">
            <v>15.580431271101332</v>
          </cell>
          <cell r="I621">
            <v>950</v>
          </cell>
          <cell r="P621">
            <v>1305</v>
          </cell>
          <cell r="Q621">
            <v>2.2799999999999998</v>
          </cell>
          <cell r="R621">
            <v>0.94</v>
          </cell>
          <cell r="S621">
            <v>7.4</v>
          </cell>
          <cell r="T621">
            <v>88.4</v>
          </cell>
          <cell r="U621">
            <v>10</v>
          </cell>
        </row>
        <row r="622">
          <cell r="A622" t="str">
            <v>KBM-35H02-E (240 V)</v>
          </cell>
          <cell r="B622">
            <v>59.4</v>
          </cell>
          <cell r="C622">
            <v>55.4</v>
          </cell>
          <cell r="D622">
            <v>17.100000000000001</v>
          </cell>
          <cell r="E622">
            <v>12</v>
          </cell>
          <cell r="J622">
            <v>14.533563583806249</v>
          </cell>
          <cell r="K622">
            <v>2050</v>
          </cell>
          <cell r="P622">
            <v>2728</v>
          </cell>
          <cell r="Q622">
            <v>2.2799999999999998</v>
          </cell>
          <cell r="R622">
            <v>0.94</v>
          </cell>
          <cell r="S622">
            <v>7.4</v>
          </cell>
          <cell r="T622">
            <v>88.4</v>
          </cell>
          <cell r="U622">
            <v>10</v>
          </cell>
        </row>
        <row r="623">
          <cell r="A623" t="str">
            <v>KBM-35H02-E (400 V)</v>
          </cell>
          <cell r="B623">
            <v>59.4</v>
          </cell>
          <cell r="C623">
            <v>55.4</v>
          </cell>
          <cell r="D623">
            <v>17.100000000000001</v>
          </cell>
          <cell r="E623">
            <v>12</v>
          </cell>
          <cell r="L623">
            <v>11.496360954248335</v>
          </cell>
          <cell r="M623">
            <v>3850</v>
          </cell>
          <cell r="P623">
            <v>4547</v>
          </cell>
          <cell r="Q623">
            <v>2.2799999999999998</v>
          </cell>
          <cell r="R623">
            <v>0.94</v>
          </cell>
          <cell r="S623">
            <v>7.4</v>
          </cell>
          <cell r="T623">
            <v>88.4</v>
          </cell>
          <cell r="U623">
            <v>10</v>
          </cell>
        </row>
        <row r="624">
          <cell r="A624" t="str">
            <v>KBM-35H02-E (480 V)</v>
          </cell>
          <cell r="B624">
            <v>59.4</v>
          </cell>
          <cell r="C624">
            <v>55.4</v>
          </cell>
          <cell r="D624">
            <v>17.100000000000001</v>
          </cell>
          <cell r="E624">
            <v>12</v>
          </cell>
          <cell r="N624">
            <v>9.1226258870120436</v>
          </cell>
          <cell r="O624">
            <v>4700</v>
          </cell>
          <cell r="P624">
            <v>5457</v>
          </cell>
          <cell r="Q624">
            <v>2.2799999999999998</v>
          </cell>
          <cell r="R624">
            <v>0.94</v>
          </cell>
          <cell r="S624">
            <v>7.4</v>
          </cell>
          <cell r="T624">
            <v>88.4</v>
          </cell>
          <cell r="U624">
            <v>10</v>
          </cell>
        </row>
        <row r="625">
          <cell r="A625" t="str">
            <v>KBM-35H02-F (120 V)</v>
          </cell>
          <cell r="B625">
            <v>59.4</v>
          </cell>
          <cell r="C625">
            <v>69</v>
          </cell>
          <cell r="D625">
            <v>17.3</v>
          </cell>
          <cell r="E625">
            <v>14.92</v>
          </cell>
          <cell r="H625">
            <v>15.597184423005743</v>
          </cell>
          <cell r="I625">
            <v>1200</v>
          </cell>
          <cell r="P625">
            <v>1607</v>
          </cell>
          <cell r="Q625">
            <v>2.2799999999999998</v>
          </cell>
          <cell r="R625">
            <v>0.61</v>
          </cell>
          <cell r="S625">
            <v>4.9000000000000004</v>
          </cell>
          <cell r="T625">
            <v>72.099999999999994</v>
          </cell>
          <cell r="U625">
            <v>10</v>
          </cell>
        </row>
        <row r="626">
          <cell r="A626" t="str">
            <v>KBM-35H02-F (240 V)</v>
          </cell>
          <cell r="B626">
            <v>59.4</v>
          </cell>
          <cell r="C626">
            <v>69</v>
          </cell>
          <cell r="D626">
            <v>17.3</v>
          </cell>
          <cell r="E626">
            <v>14.92</v>
          </cell>
          <cell r="J626">
            <v>13.873506360085971</v>
          </cell>
          <cell r="K626">
            <v>2650</v>
          </cell>
          <cell r="P626">
            <v>3356</v>
          </cell>
          <cell r="Q626">
            <v>2.2799999999999998</v>
          </cell>
          <cell r="R626">
            <v>0.61</v>
          </cell>
          <cell r="S626">
            <v>4.9000000000000004</v>
          </cell>
          <cell r="T626">
            <v>72.099999999999994</v>
          </cell>
          <cell r="U626">
            <v>10</v>
          </cell>
        </row>
        <row r="627">
          <cell r="A627" t="str">
            <v>KBM-35H02-F (400 V)</v>
          </cell>
          <cell r="B627">
            <v>59.4</v>
          </cell>
          <cell r="C627">
            <v>69</v>
          </cell>
          <cell r="D627">
            <v>17.3</v>
          </cell>
          <cell r="E627">
            <v>14.92</v>
          </cell>
          <cell r="L627">
            <v>7.6956096012669395</v>
          </cell>
          <cell r="M627">
            <v>5100</v>
          </cell>
          <cell r="P627">
            <v>5593</v>
          </cell>
          <cell r="Q627">
            <v>2.2799999999999998</v>
          </cell>
          <cell r="R627">
            <v>0.61</v>
          </cell>
          <cell r="S627">
            <v>4.9000000000000004</v>
          </cell>
          <cell r="T627">
            <v>72.099999999999994</v>
          </cell>
          <cell r="U627">
            <v>10</v>
          </cell>
        </row>
        <row r="628">
          <cell r="A628" t="str">
            <v>KBM-35H02-F (480 V)</v>
          </cell>
          <cell r="B628">
            <v>59.4</v>
          </cell>
          <cell r="C628">
            <v>69</v>
          </cell>
          <cell r="D628">
            <v>17.3</v>
          </cell>
          <cell r="E628">
            <v>14.92</v>
          </cell>
          <cell r="N628">
            <v>6.2689363695640994</v>
          </cell>
          <cell r="O628">
            <v>5400</v>
          </cell>
          <cell r="P628">
            <v>6711</v>
          </cell>
          <cell r="Q628">
            <v>2.2799999999999998</v>
          </cell>
          <cell r="R628">
            <v>0.61</v>
          </cell>
          <cell r="S628">
            <v>4.9000000000000004</v>
          </cell>
          <cell r="T628">
            <v>72.099999999999994</v>
          </cell>
          <cell r="U628">
            <v>10</v>
          </cell>
        </row>
        <row r="629">
          <cell r="A629" t="str">
            <v>KBM-35H02-G (120 V)</v>
          </cell>
          <cell r="B629">
            <v>59.4</v>
          </cell>
          <cell r="C629">
            <v>86.5</v>
          </cell>
          <cell r="D629">
            <v>17.100000000000001</v>
          </cell>
          <cell r="E629">
            <v>18.64</v>
          </cell>
          <cell r="H629">
            <v>15.094049441618461</v>
          </cell>
          <cell r="I629">
            <v>1550</v>
          </cell>
          <cell r="P629">
            <v>2032</v>
          </cell>
          <cell r="Q629">
            <v>2.2799999999999998</v>
          </cell>
          <cell r="R629">
            <v>0.39</v>
          </cell>
          <cell r="S629">
            <v>3.1</v>
          </cell>
          <cell r="T629">
            <v>57</v>
          </cell>
          <cell r="U629">
            <v>10</v>
          </cell>
        </row>
        <row r="630">
          <cell r="A630" t="str">
            <v>KBM-35H02-G (240 V)</v>
          </cell>
          <cell r="B630">
            <v>59.4</v>
          </cell>
          <cell r="C630">
            <v>86.5</v>
          </cell>
          <cell r="D630">
            <v>17.100000000000001</v>
          </cell>
          <cell r="E630">
            <v>18.64</v>
          </cell>
          <cell r="J630">
            <v>12.44217172759582</v>
          </cell>
          <cell r="K630">
            <v>3400</v>
          </cell>
          <cell r="P630">
            <v>4241</v>
          </cell>
          <cell r="Q630">
            <v>2.2799999999999998</v>
          </cell>
          <cell r="R630">
            <v>0.39</v>
          </cell>
          <cell r="S630">
            <v>3.1</v>
          </cell>
          <cell r="T630">
            <v>57</v>
          </cell>
          <cell r="U630">
            <v>10</v>
          </cell>
        </row>
        <row r="631">
          <cell r="A631" t="str">
            <v>KBM-35H02-G (400 V)</v>
          </cell>
          <cell r="B631">
            <v>59.4</v>
          </cell>
          <cell r="C631">
            <v>86.5</v>
          </cell>
          <cell r="D631">
            <v>17.100000000000001</v>
          </cell>
          <cell r="E631">
            <v>18.64</v>
          </cell>
          <cell r="L631">
            <v>3.6056826762543186</v>
          </cell>
          <cell r="M631">
            <v>5800</v>
          </cell>
          <cell r="P631">
            <v>7068</v>
          </cell>
          <cell r="Q631">
            <v>2.2799999999999998</v>
          </cell>
          <cell r="R631">
            <v>0.39</v>
          </cell>
          <cell r="S631">
            <v>3.1</v>
          </cell>
          <cell r="T631">
            <v>57</v>
          </cell>
          <cell r="U631">
            <v>10</v>
          </cell>
        </row>
        <row r="632">
          <cell r="A632" t="str">
            <v>KBM-35H03-A (120 V)</v>
          </cell>
          <cell r="B632">
            <v>76.099999999999994</v>
          </cell>
          <cell r="C632">
            <v>46.1</v>
          </cell>
          <cell r="D632">
            <v>21.8</v>
          </cell>
          <cell r="E632">
            <v>10.199999999999999</v>
          </cell>
          <cell r="H632">
            <v>20.567715722644937</v>
          </cell>
          <cell r="I632">
            <v>650</v>
          </cell>
          <cell r="P632">
            <v>867</v>
          </cell>
          <cell r="Q632">
            <v>3.04</v>
          </cell>
          <cell r="R632">
            <v>1.41</v>
          </cell>
          <cell r="S632">
            <v>12</v>
          </cell>
          <cell r="T632">
            <v>132</v>
          </cell>
          <cell r="U632">
            <v>10</v>
          </cell>
        </row>
        <row r="633">
          <cell r="A633" t="str">
            <v>KBM-35H03-A (240 V)</v>
          </cell>
          <cell r="B633">
            <v>76.099999999999994</v>
          </cell>
          <cell r="C633">
            <v>46.1</v>
          </cell>
          <cell r="D633">
            <v>21.8</v>
          </cell>
          <cell r="E633">
            <v>10.199999999999999</v>
          </cell>
          <cell r="J633">
            <v>19.644267261628229</v>
          </cell>
          <cell r="K633">
            <v>1400</v>
          </cell>
          <cell r="P633">
            <v>1818</v>
          </cell>
          <cell r="Q633">
            <v>3.04</v>
          </cell>
          <cell r="R633">
            <v>1.41</v>
          </cell>
          <cell r="S633">
            <v>12</v>
          </cell>
          <cell r="T633">
            <v>132</v>
          </cell>
          <cell r="U633">
            <v>10</v>
          </cell>
        </row>
        <row r="634">
          <cell r="A634" t="str">
            <v>KBM-35H03-A (400 V)</v>
          </cell>
          <cell r="B634">
            <v>76.099999999999994</v>
          </cell>
          <cell r="C634">
            <v>46.1</v>
          </cell>
          <cell r="D634">
            <v>21.8</v>
          </cell>
          <cell r="E634">
            <v>10.199999999999999</v>
          </cell>
          <cell r="L634">
            <v>17.188733853924695</v>
          </cell>
          <cell r="M634">
            <v>2550</v>
          </cell>
          <cell r="P634">
            <v>3029</v>
          </cell>
          <cell r="Q634">
            <v>3.04</v>
          </cell>
          <cell r="R634">
            <v>1.41</v>
          </cell>
          <cell r="S634">
            <v>12</v>
          </cell>
          <cell r="T634">
            <v>132</v>
          </cell>
          <cell r="U634">
            <v>10</v>
          </cell>
        </row>
        <row r="635">
          <cell r="A635" t="str">
            <v>KBM-35H03-A (480 V)</v>
          </cell>
          <cell r="B635">
            <v>76.099999999999994</v>
          </cell>
          <cell r="C635">
            <v>46.1</v>
          </cell>
          <cell r="D635">
            <v>21.8</v>
          </cell>
          <cell r="E635">
            <v>10.199999999999999</v>
          </cell>
          <cell r="N635">
            <v>15.586916362161105</v>
          </cell>
          <cell r="O635">
            <v>3100</v>
          </cell>
          <cell r="P635">
            <v>3635</v>
          </cell>
          <cell r="Q635">
            <v>3.04</v>
          </cell>
          <cell r="R635">
            <v>1.41</v>
          </cell>
          <cell r="S635">
            <v>12</v>
          </cell>
          <cell r="T635">
            <v>132</v>
          </cell>
          <cell r="U635">
            <v>10</v>
          </cell>
        </row>
        <row r="636">
          <cell r="A636" t="str">
            <v>KBM-35H03-B (120 V)</v>
          </cell>
          <cell r="B636">
            <v>76.599999999999994</v>
          </cell>
          <cell r="C636">
            <v>64</v>
          </cell>
          <cell r="D636">
            <v>21.7</v>
          </cell>
          <cell r="E636">
            <v>14</v>
          </cell>
          <cell r="H636">
            <v>19.629109648000426</v>
          </cell>
          <cell r="I636">
            <v>900</v>
          </cell>
          <cell r="P636">
            <v>1197</v>
          </cell>
          <cell r="Q636">
            <v>3.04</v>
          </cell>
          <cell r="R636">
            <v>0.75</v>
          </cell>
          <cell r="S636">
            <v>6.2</v>
          </cell>
          <cell r="T636">
            <v>96.2</v>
          </cell>
          <cell r="U636">
            <v>10</v>
          </cell>
        </row>
        <row r="637">
          <cell r="A637" t="str">
            <v>KBM-35H03-B (240 V)</v>
          </cell>
          <cell r="B637">
            <v>76.599999999999994</v>
          </cell>
          <cell r="C637">
            <v>64</v>
          </cell>
          <cell r="D637">
            <v>21.7</v>
          </cell>
          <cell r="E637">
            <v>14</v>
          </cell>
          <cell r="J637">
            <v>17.910753839658661</v>
          </cell>
          <cell r="K637">
            <v>2050</v>
          </cell>
          <cell r="P637">
            <v>2504</v>
          </cell>
          <cell r="Q637">
            <v>3.04</v>
          </cell>
          <cell r="R637">
            <v>0.75</v>
          </cell>
          <cell r="S637">
            <v>6.2</v>
          </cell>
          <cell r="T637">
            <v>96.2</v>
          </cell>
          <cell r="U637">
            <v>10</v>
          </cell>
        </row>
        <row r="638">
          <cell r="A638" t="str">
            <v>KBM-35H03-B (400 V)</v>
          </cell>
          <cell r="B638">
            <v>76.599999999999994</v>
          </cell>
          <cell r="C638">
            <v>64</v>
          </cell>
          <cell r="D638">
            <v>21.7</v>
          </cell>
          <cell r="E638">
            <v>14</v>
          </cell>
          <cell r="L638">
            <v>13.105153077224749</v>
          </cell>
          <cell r="M638">
            <v>3800</v>
          </cell>
          <cell r="P638">
            <v>4173</v>
          </cell>
          <cell r="Q638">
            <v>3.04</v>
          </cell>
          <cell r="R638">
            <v>0.75</v>
          </cell>
          <cell r="S638">
            <v>6.2</v>
          </cell>
          <cell r="T638">
            <v>96.2</v>
          </cell>
          <cell r="U638">
            <v>10</v>
          </cell>
        </row>
        <row r="639">
          <cell r="A639" t="str">
            <v>KBM-35H03-B (480 V)</v>
          </cell>
          <cell r="B639">
            <v>76.599999999999994</v>
          </cell>
          <cell r="C639">
            <v>64</v>
          </cell>
          <cell r="D639">
            <v>21.7</v>
          </cell>
          <cell r="E639">
            <v>14</v>
          </cell>
          <cell r="N639">
            <v>10.26549382942725</v>
          </cell>
          <cell r="O639">
            <v>4800</v>
          </cell>
          <cell r="P639">
            <v>5007</v>
          </cell>
          <cell r="Q639">
            <v>3.04</v>
          </cell>
          <cell r="R639">
            <v>0.75</v>
          </cell>
          <cell r="S639">
            <v>6.2</v>
          </cell>
          <cell r="T639">
            <v>96.2</v>
          </cell>
          <cell r="U639">
            <v>10</v>
          </cell>
        </row>
        <row r="640">
          <cell r="A640" t="str">
            <v>KBM-35H03-C (120 V)</v>
          </cell>
          <cell r="B640">
            <v>75.2</v>
          </cell>
          <cell r="C640">
            <v>93</v>
          </cell>
          <cell r="D640">
            <v>20.7</v>
          </cell>
          <cell r="E640">
            <v>20.2</v>
          </cell>
          <cell r="H640">
            <v>18.044877685729375</v>
          </cell>
          <cell r="I640">
            <v>1450</v>
          </cell>
          <cell r="P640">
            <v>1813</v>
          </cell>
          <cell r="Q640">
            <v>3.04</v>
          </cell>
          <cell r="R640">
            <v>0.36</v>
          </cell>
          <cell r="S640">
            <v>2.8</v>
          </cell>
          <cell r="T640">
            <v>63.6</v>
          </cell>
          <cell r="U640">
            <v>10</v>
          </cell>
        </row>
        <row r="641">
          <cell r="A641" t="str">
            <v>KBM-35H03-C (240 V)</v>
          </cell>
          <cell r="B641">
            <v>75.2</v>
          </cell>
          <cell r="C641">
            <v>93</v>
          </cell>
          <cell r="D641">
            <v>20.7</v>
          </cell>
          <cell r="E641">
            <v>20.2</v>
          </cell>
          <cell r="J641">
            <v>14.724399251211478</v>
          </cell>
          <cell r="K641">
            <v>3100</v>
          </cell>
          <cell r="P641">
            <v>3783</v>
          </cell>
          <cell r="Q641">
            <v>3.04</v>
          </cell>
          <cell r="R641">
            <v>0.36</v>
          </cell>
          <cell r="S641">
            <v>2.8</v>
          </cell>
          <cell r="T641">
            <v>63.6</v>
          </cell>
          <cell r="U641">
            <v>10</v>
          </cell>
        </row>
        <row r="642">
          <cell r="A642" t="str">
            <v>KBM-35H03-C (400 V)</v>
          </cell>
          <cell r="B642">
            <v>75.2</v>
          </cell>
          <cell r="C642">
            <v>93</v>
          </cell>
          <cell r="D642">
            <v>20.7</v>
          </cell>
          <cell r="E642">
            <v>20.2</v>
          </cell>
          <cell r="L642">
            <v>5.7009300615516914</v>
          </cell>
          <cell r="M642">
            <v>5000</v>
          </cell>
          <cell r="P642">
            <v>6305</v>
          </cell>
          <cell r="Q642">
            <v>3.04</v>
          </cell>
          <cell r="R642">
            <v>0.36</v>
          </cell>
          <cell r="S642">
            <v>2.8</v>
          </cell>
          <cell r="T642">
            <v>63.6</v>
          </cell>
          <cell r="U642">
            <v>10</v>
          </cell>
        </row>
        <row r="643">
          <cell r="A643" t="str">
            <v>KBM-35H03-D (120 V)</v>
          </cell>
          <cell r="B643">
            <v>75.7</v>
          </cell>
          <cell r="C643">
            <v>104</v>
          </cell>
          <cell r="D643">
            <v>20</v>
          </cell>
          <cell r="E643">
            <v>21.5</v>
          </cell>
          <cell r="H643">
            <v>17.188733853924695</v>
          </cell>
          <cell r="I643">
            <v>1550</v>
          </cell>
          <cell r="P643">
            <v>1996</v>
          </cell>
          <cell r="Q643">
            <v>3.04</v>
          </cell>
          <cell r="R643">
            <v>0.32</v>
          </cell>
          <cell r="S643">
            <v>2.2999999999999998</v>
          </cell>
          <cell r="T643">
            <v>57.8</v>
          </cell>
          <cell r="U643">
            <v>10</v>
          </cell>
        </row>
        <row r="644">
          <cell r="A644" t="str">
            <v>KBM-35H03-D (240 V)</v>
          </cell>
          <cell r="B644">
            <v>75.7</v>
          </cell>
          <cell r="C644">
            <v>104</v>
          </cell>
          <cell r="D644">
            <v>20</v>
          </cell>
          <cell r="E644">
            <v>21.5</v>
          </cell>
          <cell r="J644">
            <v>13.298799803649256</v>
          </cell>
          <cell r="K644">
            <v>3400</v>
          </cell>
          <cell r="P644">
            <v>4166</v>
          </cell>
          <cell r="Q644">
            <v>3.04</v>
          </cell>
          <cell r="R644">
            <v>0.32</v>
          </cell>
          <cell r="S644">
            <v>2.2999999999999998</v>
          </cell>
          <cell r="T644">
            <v>57.8</v>
          </cell>
          <cell r="U644">
            <v>10</v>
          </cell>
        </row>
        <row r="645">
          <cell r="A645" t="str">
            <v>KBM-35H04-A (120 V)</v>
          </cell>
          <cell r="B645">
            <v>92.3</v>
          </cell>
          <cell r="C645">
            <v>49</v>
          </cell>
          <cell r="D645">
            <v>25.6</v>
          </cell>
          <cell r="E645">
            <v>10.86</v>
          </cell>
          <cell r="H645">
            <v>23.786429676643269</v>
          </cell>
          <cell r="I645">
            <v>550</v>
          </cell>
          <cell r="P645">
            <v>778</v>
          </cell>
          <cell r="Q645">
            <v>3.81</v>
          </cell>
          <cell r="R645">
            <v>1.35</v>
          </cell>
          <cell r="S645">
            <v>11</v>
          </cell>
          <cell r="T645">
            <v>147</v>
          </cell>
          <cell r="U645">
            <v>10</v>
          </cell>
        </row>
        <row r="646">
          <cell r="A646" t="str">
            <v>KBM-35H04-A (240 V)</v>
          </cell>
          <cell r="B646">
            <v>92.3</v>
          </cell>
          <cell r="C646">
            <v>49</v>
          </cell>
          <cell r="D646">
            <v>25.6</v>
          </cell>
          <cell r="E646">
            <v>10.86</v>
          </cell>
          <cell r="J646">
            <v>22.612734314496489</v>
          </cell>
          <cell r="K646">
            <v>1250</v>
          </cell>
          <cell r="P646">
            <v>1633</v>
          </cell>
          <cell r="Q646">
            <v>3.81</v>
          </cell>
          <cell r="R646">
            <v>1.35</v>
          </cell>
          <cell r="S646">
            <v>11</v>
          </cell>
          <cell r="T646">
            <v>147</v>
          </cell>
          <cell r="U646">
            <v>10</v>
          </cell>
        </row>
        <row r="647">
          <cell r="A647" t="str">
            <v>KBM-35H04-A (400 V)</v>
          </cell>
          <cell r="B647">
            <v>92.3</v>
          </cell>
          <cell r="C647">
            <v>49</v>
          </cell>
          <cell r="D647">
            <v>25.6</v>
          </cell>
          <cell r="E647">
            <v>10.86</v>
          </cell>
          <cell r="L647">
            <v>20.136560191191975</v>
          </cell>
          <cell r="M647">
            <v>2300</v>
          </cell>
          <cell r="P647">
            <v>2721</v>
          </cell>
          <cell r="Q647">
            <v>3.81</v>
          </cell>
          <cell r="R647">
            <v>1.35</v>
          </cell>
          <cell r="S647">
            <v>11</v>
          </cell>
          <cell r="T647">
            <v>147</v>
          </cell>
          <cell r="U647">
            <v>10</v>
          </cell>
        </row>
        <row r="648">
          <cell r="A648" t="str">
            <v>KBM-35H04-A (480 V)</v>
          </cell>
          <cell r="B648">
            <v>92.3</v>
          </cell>
          <cell r="C648">
            <v>49</v>
          </cell>
          <cell r="D648">
            <v>25.6</v>
          </cell>
          <cell r="E648">
            <v>10.86</v>
          </cell>
          <cell r="N648">
            <v>18.416500557776462</v>
          </cell>
          <cell r="O648">
            <v>2800</v>
          </cell>
          <cell r="P648">
            <v>3266</v>
          </cell>
          <cell r="Q648">
            <v>3.81</v>
          </cell>
          <cell r="R648">
            <v>1.35</v>
          </cell>
          <cell r="S648">
            <v>11</v>
          </cell>
          <cell r="T648">
            <v>147</v>
          </cell>
          <cell r="U648">
            <v>10</v>
          </cell>
        </row>
        <row r="649">
          <cell r="A649" t="str">
            <v>KBM-35H04-B (120 V)</v>
          </cell>
          <cell r="B649">
            <v>93</v>
          </cell>
          <cell r="C649">
            <v>61</v>
          </cell>
          <cell r="D649">
            <v>25.9</v>
          </cell>
          <cell r="E649">
            <v>13.3</v>
          </cell>
          <cell r="H649">
            <v>23.708598419206478</v>
          </cell>
          <cell r="I649">
            <v>725</v>
          </cell>
          <cell r="P649">
            <v>948</v>
          </cell>
          <cell r="Q649">
            <v>3.81</v>
          </cell>
          <cell r="R649">
            <v>0.9</v>
          </cell>
          <cell r="S649">
            <v>7.6</v>
          </cell>
          <cell r="T649">
            <v>122</v>
          </cell>
          <cell r="U649">
            <v>10</v>
          </cell>
        </row>
        <row r="650">
          <cell r="A650" t="str">
            <v>KBM-35H04-B (240 V)</v>
          </cell>
          <cell r="B650">
            <v>93</v>
          </cell>
          <cell r="C650">
            <v>61</v>
          </cell>
          <cell r="D650">
            <v>25.9</v>
          </cell>
          <cell r="E650">
            <v>13.3</v>
          </cell>
          <cell r="J650">
            <v>22.117403059351133</v>
          </cell>
          <cell r="K650">
            <v>1550</v>
          </cell>
          <cell r="P650">
            <v>1984</v>
          </cell>
          <cell r="Q650">
            <v>3.81</v>
          </cell>
          <cell r="R650">
            <v>0.9</v>
          </cell>
          <cell r="S650">
            <v>7.6</v>
          </cell>
          <cell r="T650">
            <v>122</v>
          </cell>
          <cell r="U650">
            <v>10</v>
          </cell>
        </row>
        <row r="651">
          <cell r="A651" t="str">
            <v>KBM-35H04-B (400 V)</v>
          </cell>
          <cell r="B651">
            <v>93</v>
          </cell>
          <cell r="C651">
            <v>61</v>
          </cell>
          <cell r="D651">
            <v>25.9</v>
          </cell>
          <cell r="E651">
            <v>13.3</v>
          </cell>
          <cell r="L651">
            <v>18.327948183424581</v>
          </cell>
          <cell r="M651">
            <v>2850</v>
          </cell>
          <cell r="P651">
            <v>3307</v>
          </cell>
          <cell r="Q651">
            <v>3.81</v>
          </cell>
          <cell r="R651">
            <v>0.9</v>
          </cell>
          <cell r="S651">
            <v>7.6</v>
          </cell>
          <cell r="T651">
            <v>122</v>
          </cell>
          <cell r="U651">
            <v>10</v>
          </cell>
        </row>
        <row r="652">
          <cell r="A652" t="str">
            <v>KBM-35H04-B (480 V)</v>
          </cell>
          <cell r="B652">
            <v>93</v>
          </cell>
          <cell r="C652">
            <v>61</v>
          </cell>
          <cell r="D652">
            <v>25.9</v>
          </cell>
          <cell r="E652">
            <v>13.3</v>
          </cell>
          <cell r="N652">
            <v>16.149545696089383</v>
          </cell>
          <cell r="O652">
            <v>3400</v>
          </cell>
          <cell r="P652">
            <v>3968</v>
          </cell>
          <cell r="Q652">
            <v>3.81</v>
          </cell>
          <cell r="R652">
            <v>0.9</v>
          </cell>
          <cell r="S652">
            <v>7.6</v>
          </cell>
          <cell r="T652">
            <v>122</v>
          </cell>
          <cell r="U652">
            <v>10</v>
          </cell>
        </row>
        <row r="653">
          <cell r="A653" t="str">
            <v>KBM-35H04-C (120 V)</v>
          </cell>
          <cell r="B653">
            <v>93</v>
          </cell>
          <cell r="C653">
            <v>68</v>
          </cell>
          <cell r="D653">
            <v>25.3</v>
          </cell>
          <cell r="E653">
            <v>14.7</v>
          </cell>
          <cell r="H653">
            <v>22.977994908892388</v>
          </cell>
          <cell r="I653">
            <v>800</v>
          </cell>
          <cell r="P653">
            <v>1080</v>
          </cell>
          <cell r="Q653">
            <v>3.81</v>
          </cell>
          <cell r="R653">
            <v>0.73</v>
          </cell>
          <cell r="S653">
            <v>6.1</v>
          </cell>
          <cell r="T653">
            <v>107</v>
          </cell>
          <cell r="U653">
            <v>10</v>
          </cell>
        </row>
        <row r="654">
          <cell r="A654" t="str">
            <v>KBM-35H04-C (240 V)</v>
          </cell>
          <cell r="B654">
            <v>93</v>
          </cell>
          <cell r="C654">
            <v>68</v>
          </cell>
          <cell r="D654">
            <v>25.3</v>
          </cell>
          <cell r="E654">
            <v>14.7</v>
          </cell>
          <cell r="J654">
            <v>21.088029959676135</v>
          </cell>
          <cell r="K654">
            <v>1800</v>
          </cell>
          <cell r="P654">
            <v>2260</v>
          </cell>
          <cell r="Q654">
            <v>3.81</v>
          </cell>
          <cell r="R654">
            <v>0.73</v>
          </cell>
          <cell r="S654">
            <v>6.1</v>
          </cell>
          <cell r="T654">
            <v>107</v>
          </cell>
          <cell r="U654">
            <v>10</v>
          </cell>
        </row>
        <row r="655">
          <cell r="A655" t="str">
            <v>KBM-35H04-C (400 V)</v>
          </cell>
          <cell r="B655">
            <v>93</v>
          </cell>
          <cell r="C655">
            <v>68</v>
          </cell>
          <cell r="D655">
            <v>25.3</v>
          </cell>
          <cell r="E655">
            <v>14.7</v>
          </cell>
          <cell r="L655">
            <v>16.14699240823229</v>
          </cell>
          <cell r="M655">
            <v>3300</v>
          </cell>
          <cell r="P655">
            <v>3766</v>
          </cell>
          <cell r="Q655">
            <v>3.81</v>
          </cell>
          <cell r="R655">
            <v>0.73</v>
          </cell>
          <cell r="S655">
            <v>6.1</v>
          </cell>
          <cell r="T655">
            <v>107</v>
          </cell>
          <cell r="U655">
            <v>10</v>
          </cell>
        </row>
        <row r="656">
          <cell r="A656" t="str">
            <v>KBM-35H04-C (480 V)</v>
          </cell>
          <cell r="B656">
            <v>93</v>
          </cell>
          <cell r="C656">
            <v>68</v>
          </cell>
          <cell r="D656">
            <v>25.3</v>
          </cell>
          <cell r="E656">
            <v>14.7</v>
          </cell>
          <cell r="N656">
            <v>11.206042017217307</v>
          </cell>
          <cell r="O656">
            <v>4150</v>
          </cell>
          <cell r="P656">
            <v>4520</v>
          </cell>
          <cell r="Q656">
            <v>3.81</v>
          </cell>
          <cell r="R656">
            <v>0.73</v>
          </cell>
          <cell r="S656">
            <v>6.1</v>
          </cell>
          <cell r="T656">
            <v>107</v>
          </cell>
          <cell r="U656">
            <v>10</v>
          </cell>
        </row>
        <row r="657">
          <cell r="A657" t="str">
            <v>KBM-35H04-D (120 V)</v>
          </cell>
          <cell r="B657">
            <v>91.5</v>
          </cell>
          <cell r="C657">
            <v>89</v>
          </cell>
          <cell r="D657">
            <v>24.7</v>
          </cell>
          <cell r="E657">
            <v>19.2</v>
          </cell>
          <cell r="H657">
            <v>21.838826104261813</v>
          </cell>
          <cell r="I657">
            <v>1150</v>
          </cell>
          <cell r="P657">
            <v>1443</v>
          </cell>
          <cell r="Q657">
            <v>3.81</v>
          </cell>
          <cell r="R657">
            <v>0.43</v>
          </cell>
          <cell r="S657">
            <v>3.4</v>
          </cell>
          <cell r="T657">
            <v>80</v>
          </cell>
          <cell r="U657">
            <v>10</v>
          </cell>
        </row>
        <row r="658">
          <cell r="A658" t="str">
            <v>KBM-35H04-D (240 V)</v>
          </cell>
          <cell r="B658">
            <v>91.5</v>
          </cell>
          <cell r="C658">
            <v>89</v>
          </cell>
          <cell r="D658">
            <v>24.7</v>
          </cell>
          <cell r="E658">
            <v>19.2</v>
          </cell>
          <cell r="J658">
            <v>18.65932552809381</v>
          </cell>
          <cell r="K658">
            <v>2500</v>
          </cell>
          <cell r="P658">
            <v>3015</v>
          </cell>
          <cell r="Q658">
            <v>3.81</v>
          </cell>
          <cell r="R658">
            <v>0.43</v>
          </cell>
          <cell r="S658">
            <v>3.4</v>
          </cell>
          <cell r="T658">
            <v>80</v>
          </cell>
          <cell r="U658">
            <v>10</v>
          </cell>
        </row>
        <row r="659">
          <cell r="A659" t="str">
            <v>KBM-35H04-D (400 V)</v>
          </cell>
          <cell r="B659">
            <v>91.5</v>
          </cell>
          <cell r="C659">
            <v>89</v>
          </cell>
          <cell r="D659">
            <v>24.7</v>
          </cell>
          <cell r="E659">
            <v>19.2</v>
          </cell>
          <cell r="L659">
            <v>10.111019914073351</v>
          </cell>
          <cell r="M659">
            <v>4250</v>
          </cell>
          <cell r="P659">
            <v>5025</v>
          </cell>
          <cell r="Q659">
            <v>3.81</v>
          </cell>
          <cell r="R659">
            <v>0.43</v>
          </cell>
          <cell r="S659">
            <v>3.4</v>
          </cell>
          <cell r="T659">
            <v>80</v>
          </cell>
          <cell r="U659">
            <v>10</v>
          </cell>
        </row>
        <row r="660">
          <cell r="A660" t="str">
            <v>KBM-35H04-E (120 V)</v>
          </cell>
          <cell r="B660">
            <v>92.1</v>
          </cell>
          <cell r="C660">
            <v>98.8</v>
          </cell>
          <cell r="D660">
            <v>24.7</v>
          </cell>
          <cell r="E660">
            <v>20.7</v>
          </cell>
          <cell r="H660">
            <v>22.042959618227506</v>
          </cell>
          <cell r="I660">
            <v>1200</v>
          </cell>
          <cell r="P660">
            <v>1536</v>
          </cell>
          <cell r="Q660">
            <v>3.81</v>
          </cell>
          <cell r="R660">
            <v>0.37</v>
          </cell>
          <cell r="S660">
            <v>2.8</v>
          </cell>
          <cell r="T660">
            <v>75</v>
          </cell>
          <cell r="U660">
            <v>10</v>
          </cell>
        </row>
        <row r="661">
          <cell r="A661" t="str">
            <v>KBM-35H04-E (240 V)</v>
          </cell>
          <cell r="B661">
            <v>92.1</v>
          </cell>
          <cell r="C661">
            <v>98.8</v>
          </cell>
          <cell r="D661">
            <v>24.7</v>
          </cell>
          <cell r="E661">
            <v>20.7</v>
          </cell>
          <cell r="J661">
            <v>18.657856405542191</v>
          </cell>
          <cell r="K661">
            <v>2600</v>
          </cell>
          <cell r="P661">
            <v>3208</v>
          </cell>
          <cell r="Q661">
            <v>3.81</v>
          </cell>
          <cell r="R661">
            <v>0.37</v>
          </cell>
          <cell r="S661">
            <v>2.8</v>
          </cell>
          <cell r="T661">
            <v>75</v>
          </cell>
          <cell r="U661">
            <v>10</v>
          </cell>
        </row>
        <row r="662">
          <cell r="A662" t="str">
            <v>KBM-35H04-E (400 V)</v>
          </cell>
          <cell r="B662">
            <v>92.1</v>
          </cell>
          <cell r="C662">
            <v>98.8</v>
          </cell>
          <cell r="D662">
            <v>24.7</v>
          </cell>
          <cell r="E662">
            <v>20.7</v>
          </cell>
          <cell r="L662">
            <v>6.8402026628842849</v>
          </cell>
          <cell r="M662">
            <v>4600</v>
          </cell>
          <cell r="P662">
            <v>5347</v>
          </cell>
          <cell r="Q662">
            <v>3.81</v>
          </cell>
          <cell r="R662">
            <v>0.37</v>
          </cell>
          <cell r="S662">
            <v>2.8</v>
          </cell>
          <cell r="T662">
            <v>75</v>
          </cell>
          <cell r="U662">
            <v>10</v>
          </cell>
        </row>
        <row r="663">
          <cell r="A663" t="str">
            <v>KBM-45H01-A (120 V)</v>
          </cell>
          <cell r="B663">
            <v>118</v>
          </cell>
          <cell r="C663">
            <v>46.5</v>
          </cell>
          <cell r="D663">
            <v>30.7</v>
          </cell>
          <cell r="E663">
            <v>10.24</v>
          </cell>
          <cell r="H663">
            <v>28.329579870357374</v>
          </cell>
          <cell r="I663">
            <v>450</v>
          </cell>
          <cell r="P663">
            <v>617</v>
          </cell>
          <cell r="Q663">
            <v>6.1000000000000005</v>
          </cell>
          <cell r="R663">
            <v>1.36</v>
          </cell>
          <cell r="S663">
            <v>21</v>
          </cell>
          <cell r="T663">
            <v>187</v>
          </cell>
          <cell r="U663">
            <v>10</v>
          </cell>
        </row>
        <row r="664">
          <cell r="A664" t="str">
            <v>KBM-45H01-A (240 V)</v>
          </cell>
          <cell r="B664">
            <v>118</v>
          </cell>
          <cell r="C664">
            <v>46.5</v>
          </cell>
          <cell r="D664">
            <v>30.7</v>
          </cell>
          <cell r="E664">
            <v>10.24</v>
          </cell>
          <cell r="J664">
            <v>27.341143907997175</v>
          </cell>
          <cell r="K664">
            <v>950</v>
          </cell>
          <cell r="P664">
            <v>1293</v>
          </cell>
          <cell r="Q664">
            <v>6.1000000000000005</v>
          </cell>
          <cell r="R664">
            <v>1.36</v>
          </cell>
          <cell r="S664">
            <v>21</v>
          </cell>
          <cell r="T664">
            <v>187</v>
          </cell>
          <cell r="U664">
            <v>10</v>
          </cell>
        </row>
        <row r="665">
          <cell r="A665" t="str">
            <v>KBM-45H01-A (400 V)</v>
          </cell>
          <cell r="B665">
            <v>118</v>
          </cell>
          <cell r="C665">
            <v>46.5</v>
          </cell>
          <cell r="D665">
            <v>30.7</v>
          </cell>
          <cell r="E665">
            <v>10.24</v>
          </cell>
          <cell r="L665">
            <v>24.99187334951591</v>
          </cell>
          <cell r="M665">
            <v>1750</v>
          </cell>
          <cell r="P665">
            <v>2155</v>
          </cell>
          <cell r="Q665">
            <v>6.1000000000000005</v>
          </cell>
          <cell r="R665">
            <v>1.36</v>
          </cell>
          <cell r="S665">
            <v>21</v>
          </cell>
          <cell r="T665">
            <v>187</v>
          </cell>
          <cell r="U665">
            <v>10</v>
          </cell>
        </row>
        <row r="666">
          <cell r="A666" t="str">
            <v>KBM-45H01-A (480 V)</v>
          </cell>
          <cell r="B666">
            <v>118</v>
          </cell>
          <cell r="C666">
            <v>46.5</v>
          </cell>
          <cell r="D666">
            <v>30.7</v>
          </cell>
          <cell r="E666">
            <v>10.24</v>
          </cell>
          <cell r="N666">
            <v>23.64587725936731</v>
          </cell>
          <cell r="O666">
            <v>2100</v>
          </cell>
          <cell r="P666">
            <v>2586</v>
          </cell>
          <cell r="Q666">
            <v>6.1000000000000005</v>
          </cell>
          <cell r="R666">
            <v>1.36</v>
          </cell>
          <cell r="S666">
            <v>21</v>
          </cell>
          <cell r="T666">
            <v>187</v>
          </cell>
          <cell r="U666">
            <v>10</v>
          </cell>
        </row>
        <row r="667">
          <cell r="A667" t="str">
            <v>KBM-45H01-B (120 V)</v>
          </cell>
          <cell r="B667">
            <v>118</v>
          </cell>
          <cell r="C667">
            <v>57.5</v>
          </cell>
          <cell r="D667">
            <v>30.2</v>
          </cell>
          <cell r="E667">
            <v>12.5</v>
          </cell>
          <cell r="H667">
            <v>27.738432938873189</v>
          </cell>
          <cell r="I667">
            <v>525</v>
          </cell>
          <cell r="P667">
            <v>763</v>
          </cell>
          <cell r="Q667">
            <v>6.1000000000000005</v>
          </cell>
          <cell r="R667">
            <v>0.92</v>
          </cell>
          <cell r="S667">
            <v>14</v>
          </cell>
          <cell r="T667">
            <v>150</v>
          </cell>
          <cell r="U667">
            <v>10</v>
          </cell>
        </row>
        <row r="668">
          <cell r="A668" t="str">
            <v>KBM-45H01-B (240 V)</v>
          </cell>
          <cell r="B668">
            <v>118</v>
          </cell>
          <cell r="C668">
            <v>57.5</v>
          </cell>
          <cell r="D668">
            <v>30.2</v>
          </cell>
          <cell r="E668">
            <v>12.5</v>
          </cell>
          <cell r="J668">
            <v>26.101410667070837</v>
          </cell>
          <cell r="K668">
            <v>1200</v>
          </cell>
          <cell r="P668">
            <v>1596</v>
          </cell>
          <cell r="Q668">
            <v>6.1000000000000005</v>
          </cell>
          <cell r="R668">
            <v>0.92</v>
          </cell>
          <cell r="S668">
            <v>14</v>
          </cell>
          <cell r="T668">
            <v>150</v>
          </cell>
          <cell r="U668">
            <v>10</v>
          </cell>
        </row>
        <row r="669">
          <cell r="A669" t="str">
            <v>KBM-45H01-B (400 V)</v>
          </cell>
          <cell r="B669">
            <v>118</v>
          </cell>
          <cell r="C669">
            <v>57.5</v>
          </cell>
          <cell r="D669">
            <v>30.2</v>
          </cell>
          <cell r="E669">
            <v>12.5</v>
          </cell>
          <cell r="L669">
            <v>23.09597313705644</v>
          </cell>
          <cell r="M669">
            <v>2150</v>
          </cell>
          <cell r="P669">
            <v>2660</v>
          </cell>
          <cell r="Q669">
            <v>6.1000000000000005</v>
          </cell>
          <cell r="R669">
            <v>0.92</v>
          </cell>
          <cell r="S669">
            <v>14</v>
          </cell>
          <cell r="T669">
            <v>150</v>
          </cell>
          <cell r="U669">
            <v>10</v>
          </cell>
        </row>
        <row r="670">
          <cell r="A670" t="str">
            <v>KBM-45H01-B (480 V)</v>
          </cell>
          <cell r="B670">
            <v>118</v>
          </cell>
          <cell r="C670">
            <v>57.5</v>
          </cell>
          <cell r="D670">
            <v>30.2</v>
          </cell>
          <cell r="E670">
            <v>12.5</v>
          </cell>
          <cell r="N670">
            <v>20.720171836492035</v>
          </cell>
          <cell r="O670">
            <v>2650</v>
          </cell>
          <cell r="P670">
            <v>3192</v>
          </cell>
          <cell r="Q670">
            <v>6.1000000000000005</v>
          </cell>
          <cell r="R670">
            <v>0.92</v>
          </cell>
          <cell r="S670">
            <v>14</v>
          </cell>
          <cell r="T670">
            <v>150</v>
          </cell>
          <cell r="U670">
            <v>10</v>
          </cell>
        </row>
        <row r="671">
          <cell r="A671" t="str">
            <v>KBM-45H01-C (120 V)</v>
          </cell>
          <cell r="B671">
            <v>119</v>
          </cell>
          <cell r="C671">
            <v>65</v>
          </cell>
          <cell r="D671">
            <v>31.3</v>
          </cell>
          <cell r="E671">
            <v>14.3</v>
          </cell>
          <cell r="H671">
            <v>28.427521373798537</v>
          </cell>
          <cell r="I671">
            <v>650</v>
          </cell>
          <cell r="P671">
            <v>854</v>
          </cell>
          <cell r="Q671">
            <v>6.1000000000000005</v>
          </cell>
          <cell r="R671">
            <v>0.69</v>
          </cell>
          <cell r="S671">
            <v>11</v>
          </cell>
          <cell r="T671">
            <v>135</v>
          </cell>
          <cell r="U671">
            <v>10</v>
          </cell>
        </row>
        <row r="672">
          <cell r="A672" t="str">
            <v>KBM-45H01-C (240 V)</v>
          </cell>
          <cell r="B672">
            <v>119</v>
          </cell>
          <cell r="C672">
            <v>65</v>
          </cell>
          <cell r="D672">
            <v>31.3</v>
          </cell>
          <cell r="E672">
            <v>14.3</v>
          </cell>
          <cell r="J672">
            <v>26.601611916788226</v>
          </cell>
          <cell r="K672">
            <v>1400</v>
          </cell>
          <cell r="P672">
            <v>1783</v>
          </cell>
          <cell r="Q672">
            <v>6.1000000000000005</v>
          </cell>
          <cell r="R672">
            <v>0.69</v>
          </cell>
          <cell r="S672">
            <v>11</v>
          </cell>
          <cell r="T672">
            <v>135</v>
          </cell>
          <cell r="U672">
            <v>10</v>
          </cell>
        </row>
        <row r="673">
          <cell r="A673" t="str">
            <v>KBM-45H01-C (400 V)</v>
          </cell>
          <cell r="B673">
            <v>119</v>
          </cell>
          <cell r="C673">
            <v>65</v>
          </cell>
          <cell r="D673">
            <v>31.3</v>
          </cell>
          <cell r="E673">
            <v>14.3</v>
          </cell>
          <cell r="L673">
            <v>22.23076245107594</v>
          </cell>
          <cell r="M673">
            <v>2500</v>
          </cell>
          <cell r="P673">
            <v>2972</v>
          </cell>
          <cell r="Q673">
            <v>6.1000000000000005</v>
          </cell>
          <cell r="R673">
            <v>0.69</v>
          </cell>
          <cell r="S673">
            <v>11</v>
          </cell>
          <cell r="T673">
            <v>135</v>
          </cell>
          <cell r="U673">
            <v>10</v>
          </cell>
        </row>
        <row r="674">
          <cell r="A674" t="str">
            <v>KBM-45H01-C (480 V)</v>
          </cell>
          <cell r="B674">
            <v>119</v>
          </cell>
          <cell r="C674">
            <v>65</v>
          </cell>
          <cell r="D674">
            <v>31.3</v>
          </cell>
          <cell r="E674">
            <v>14.3</v>
          </cell>
          <cell r="N674">
            <v>18.621128341751753</v>
          </cell>
          <cell r="O674">
            <v>3100</v>
          </cell>
          <cell r="P674">
            <v>3567</v>
          </cell>
          <cell r="Q674">
            <v>6.1000000000000005</v>
          </cell>
          <cell r="R674">
            <v>0.69</v>
          </cell>
          <cell r="S674">
            <v>11</v>
          </cell>
          <cell r="T674">
            <v>135</v>
          </cell>
          <cell r="U674">
            <v>10</v>
          </cell>
        </row>
        <row r="675">
          <cell r="A675" t="str">
            <v>KBM-45H01-D (120 V)</v>
          </cell>
          <cell r="B675">
            <v>118</v>
          </cell>
          <cell r="C675">
            <v>93.5</v>
          </cell>
          <cell r="D675">
            <v>29.7</v>
          </cell>
          <cell r="E675">
            <v>20.2</v>
          </cell>
          <cell r="H675">
            <v>26.335954793732576</v>
          </cell>
          <cell r="I675">
            <v>950</v>
          </cell>
          <cell r="P675">
            <v>1263</v>
          </cell>
          <cell r="Q675">
            <v>6.1000000000000005</v>
          </cell>
          <cell r="R675">
            <v>0.35</v>
          </cell>
          <cell r="S675">
            <v>5</v>
          </cell>
          <cell r="T675">
            <v>91.2</v>
          </cell>
          <cell r="U675">
            <v>10</v>
          </cell>
        </row>
        <row r="676">
          <cell r="A676" t="str">
            <v>KBM-45H01-D (240 V)</v>
          </cell>
          <cell r="B676">
            <v>118</v>
          </cell>
          <cell r="C676">
            <v>93.5</v>
          </cell>
          <cell r="D676">
            <v>29.7</v>
          </cell>
          <cell r="E676">
            <v>20.2</v>
          </cell>
          <cell r="J676">
            <v>22.804629703024432</v>
          </cell>
          <cell r="K676">
            <v>2100</v>
          </cell>
          <cell r="P676">
            <v>2635</v>
          </cell>
          <cell r="Q676">
            <v>6.1000000000000005</v>
          </cell>
          <cell r="R676">
            <v>0.35</v>
          </cell>
          <cell r="S676">
            <v>5</v>
          </cell>
          <cell r="T676">
            <v>91.2</v>
          </cell>
          <cell r="U676">
            <v>10</v>
          </cell>
        </row>
        <row r="677">
          <cell r="A677" t="str">
            <v>KBM-45H01-D (400 V)</v>
          </cell>
          <cell r="B677">
            <v>118</v>
          </cell>
          <cell r="C677">
            <v>93.5</v>
          </cell>
          <cell r="D677">
            <v>29.7</v>
          </cell>
          <cell r="E677">
            <v>20.2</v>
          </cell>
          <cell r="L677">
            <v>12.723792477454767</v>
          </cell>
          <cell r="M677">
            <v>3700</v>
          </cell>
          <cell r="P677">
            <v>4392</v>
          </cell>
          <cell r="Q677">
            <v>6.1000000000000005</v>
          </cell>
          <cell r="R677">
            <v>0.35</v>
          </cell>
          <cell r="S677">
            <v>5</v>
          </cell>
          <cell r="T677">
            <v>91.2</v>
          </cell>
          <cell r="U677">
            <v>10</v>
          </cell>
        </row>
        <row r="678">
          <cell r="A678" t="str">
            <v>KBM-45H01-E (120 V)</v>
          </cell>
          <cell r="B678">
            <v>118</v>
          </cell>
          <cell r="C678">
            <v>105</v>
          </cell>
          <cell r="D678">
            <v>31.2</v>
          </cell>
          <cell r="E678">
            <v>23.4</v>
          </cell>
          <cell r="H678">
            <v>27.345712949425653</v>
          </cell>
          <cell r="I678">
            <v>1100</v>
          </cell>
          <cell r="P678">
            <v>1394</v>
          </cell>
          <cell r="Q678">
            <v>6.1000000000000005</v>
          </cell>
          <cell r="R678">
            <v>0.26</v>
          </cell>
          <cell r="S678">
            <v>3.2</v>
          </cell>
          <cell r="T678">
            <v>82.7</v>
          </cell>
          <cell r="U678">
            <v>10</v>
          </cell>
        </row>
        <row r="679">
          <cell r="A679" t="str">
            <v>KBM-45H01-E (240 V)</v>
          </cell>
          <cell r="B679">
            <v>118</v>
          </cell>
          <cell r="C679">
            <v>105</v>
          </cell>
          <cell r="D679">
            <v>31.2</v>
          </cell>
          <cell r="E679">
            <v>23.4</v>
          </cell>
          <cell r="J679">
            <v>23.167423890072417</v>
          </cell>
          <cell r="K679">
            <v>2300</v>
          </cell>
          <cell r="P679">
            <v>2909</v>
          </cell>
          <cell r="Q679">
            <v>6.1000000000000005</v>
          </cell>
          <cell r="R679">
            <v>0.26</v>
          </cell>
          <cell r="S679">
            <v>3.2</v>
          </cell>
          <cell r="T679">
            <v>82.7</v>
          </cell>
          <cell r="U679">
            <v>10</v>
          </cell>
        </row>
        <row r="680">
          <cell r="A680" t="str">
            <v>KBM-45H02-A (120 V)</v>
          </cell>
          <cell r="B680">
            <v>171</v>
          </cell>
          <cell r="C680">
            <v>60.5</v>
          </cell>
          <cell r="D680">
            <v>43.7</v>
          </cell>
          <cell r="E680">
            <v>13.3</v>
          </cell>
          <cell r="H680">
            <v>40.226411866476546</v>
          </cell>
          <cell r="I680">
            <v>400</v>
          </cell>
          <cell r="P680">
            <v>568</v>
          </cell>
          <cell r="Q680">
            <v>9.2200000000000006</v>
          </cell>
          <cell r="R680">
            <v>0.95</v>
          </cell>
          <cell r="S680">
            <v>16</v>
          </cell>
          <cell r="T680">
            <v>202</v>
          </cell>
          <cell r="U680">
            <v>10</v>
          </cell>
        </row>
        <row r="681">
          <cell r="A681" t="str">
            <v>KBM-45H02-A (240 V)</v>
          </cell>
          <cell r="B681">
            <v>171</v>
          </cell>
          <cell r="C681">
            <v>60.5</v>
          </cell>
          <cell r="D681">
            <v>43.7</v>
          </cell>
          <cell r="E681">
            <v>13.3</v>
          </cell>
          <cell r="J681">
            <v>38.46847317687061</v>
          </cell>
          <cell r="K681">
            <v>880</v>
          </cell>
          <cell r="P681">
            <v>1188</v>
          </cell>
          <cell r="Q681">
            <v>9.2200000000000006</v>
          </cell>
          <cell r="R681">
            <v>0.95</v>
          </cell>
          <cell r="S681">
            <v>16</v>
          </cell>
          <cell r="T681">
            <v>202</v>
          </cell>
          <cell r="U681">
            <v>10</v>
          </cell>
        </row>
        <row r="682">
          <cell r="A682" t="str">
            <v>KBM-45H02-A (400 V)</v>
          </cell>
          <cell r="B682">
            <v>171</v>
          </cell>
          <cell r="C682">
            <v>60.5</v>
          </cell>
          <cell r="D682">
            <v>43.7</v>
          </cell>
          <cell r="E682">
            <v>13.3</v>
          </cell>
          <cell r="L682">
            <v>34.85493253712508</v>
          </cell>
          <cell r="M682">
            <v>1600</v>
          </cell>
          <cell r="P682">
            <v>1980</v>
          </cell>
          <cell r="Q682">
            <v>9.2200000000000006</v>
          </cell>
          <cell r="R682">
            <v>0.95</v>
          </cell>
          <cell r="S682">
            <v>16</v>
          </cell>
          <cell r="T682">
            <v>202</v>
          </cell>
          <cell r="U682">
            <v>10</v>
          </cell>
        </row>
        <row r="683">
          <cell r="A683" t="str">
            <v>KBM-45H02-A (480 V)</v>
          </cell>
          <cell r="B683">
            <v>171</v>
          </cell>
          <cell r="C683">
            <v>60.5</v>
          </cell>
          <cell r="D683">
            <v>43.7</v>
          </cell>
          <cell r="E683">
            <v>13.3</v>
          </cell>
          <cell r="N683">
            <v>32.565549894187811</v>
          </cell>
          <cell r="O683">
            <v>1950</v>
          </cell>
          <cell r="P683">
            <v>2376</v>
          </cell>
          <cell r="Q683">
            <v>9.2200000000000006</v>
          </cell>
          <cell r="R683">
            <v>0.95</v>
          </cell>
          <cell r="S683">
            <v>16</v>
          </cell>
          <cell r="T683">
            <v>202</v>
          </cell>
          <cell r="U683">
            <v>10</v>
          </cell>
        </row>
        <row r="684">
          <cell r="A684" t="str">
            <v>KBM-45H02-B (120 V)</v>
          </cell>
          <cell r="B684">
            <v>171</v>
          </cell>
          <cell r="C684">
            <v>68</v>
          </cell>
          <cell r="D684">
            <v>43.5</v>
          </cell>
          <cell r="E684">
            <v>14.9</v>
          </cell>
          <cell r="H684">
            <v>39.894839068368434</v>
          </cell>
          <cell r="I684">
            <v>450</v>
          </cell>
          <cell r="P684">
            <v>638</v>
          </cell>
          <cell r="Q684">
            <v>9.2200000000000006</v>
          </cell>
          <cell r="R684">
            <v>0.76</v>
          </cell>
          <cell r="S684">
            <v>12</v>
          </cell>
          <cell r="T684">
            <v>180</v>
          </cell>
          <cell r="U684">
            <v>10</v>
          </cell>
        </row>
        <row r="685">
          <cell r="A685" t="str">
            <v>KBM-45H02-B (240 V)</v>
          </cell>
          <cell r="B685">
            <v>171</v>
          </cell>
          <cell r="C685">
            <v>68</v>
          </cell>
          <cell r="D685">
            <v>43.5</v>
          </cell>
          <cell r="E685">
            <v>14.9</v>
          </cell>
          <cell r="J685">
            <v>37.515093728803905</v>
          </cell>
          <cell r="K685">
            <v>1050</v>
          </cell>
          <cell r="P685">
            <v>1334</v>
          </cell>
          <cell r="Q685">
            <v>9.2200000000000006</v>
          </cell>
          <cell r="R685">
            <v>0.76</v>
          </cell>
          <cell r="S685">
            <v>12</v>
          </cell>
          <cell r="T685">
            <v>180</v>
          </cell>
          <cell r="U685">
            <v>10</v>
          </cell>
        </row>
        <row r="686">
          <cell r="A686" t="str">
            <v>KBM-45H02-B (400 V)</v>
          </cell>
          <cell r="B686">
            <v>171</v>
          </cell>
          <cell r="C686">
            <v>68</v>
          </cell>
          <cell r="D686">
            <v>43.5</v>
          </cell>
          <cell r="E686">
            <v>14.9</v>
          </cell>
          <cell r="L686">
            <v>32.769165125026028</v>
          </cell>
          <cell r="M686">
            <v>1900</v>
          </cell>
          <cell r="P686">
            <v>2223</v>
          </cell>
          <cell r="Q686">
            <v>9.2200000000000006</v>
          </cell>
          <cell r="R686">
            <v>0.76</v>
          </cell>
          <cell r="S686">
            <v>12</v>
          </cell>
          <cell r="T686">
            <v>180</v>
          </cell>
          <cell r="U686">
            <v>10</v>
          </cell>
        </row>
        <row r="687">
          <cell r="A687" t="str">
            <v>KBM-45H02-B (480 V)</v>
          </cell>
          <cell r="B687">
            <v>171</v>
          </cell>
          <cell r="C687">
            <v>68</v>
          </cell>
          <cell r="D687">
            <v>43.5</v>
          </cell>
          <cell r="E687">
            <v>14.9</v>
          </cell>
          <cell r="N687">
            <v>29.257419325829272</v>
          </cell>
          <cell r="O687">
            <v>2350</v>
          </cell>
          <cell r="P687">
            <v>2667</v>
          </cell>
          <cell r="Q687">
            <v>9.2200000000000006</v>
          </cell>
          <cell r="R687">
            <v>0.76</v>
          </cell>
          <cell r="S687">
            <v>12</v>
          </cell>
          <cell r="T687">
            <v>180</v>
          </cell>
          <cell r="U687">
            <v>10</v>
          </cell>
        </row>
        <row r="688">
          <cell r="A688" t="str">
            <v>KBM-45H02-C (120 V)</v>
          </cell>
          <cell r="B688">
            <v>168</v>
          </cell>
          <cell r="C688">
            <v>97.2</v>
          </cell>
          <cell r="D688">
            <v>41.8</v>
          </cell>
          <cell r="E688">
            <v>21.1</v>
          </cell>
          <cell r="H688">
            <v>37.242256683503506</v>
          </cell>
          <cell r="I688">
            <v>750</v>
          </cell>
          <cell r="P688">
            <v>941</v>
          </cell>
          <cell r="Q688">
            <v>9.2200000000000006</v>
          </cell>
          <cell r="R688">
            <v>0.38</v>
          </cell>
          <cell r="S688">
            <v>5.9</v>
          </cell>
          <cell r="T688">
            <v>123</v>
          </cell>
          <cell r="U688">
            <v>10</v>
          </cell>
        </row>
        <row r="689">
          <cell r="A689" t="str">
            <v>KBM-45H02-C (240 V)</v>
          </cell>
          <cell r="B689">
            <v>168</v>
          </cell>
          <cell r="C689">
            <v>97.2</v>
          </cell>
          <cell r="D689">
            <v>41.8</v>
          </cell>
          <cell r="E689">
            <v>21.1</v>
          </cell>
          <cell r="J689">
            <v>33.243488738319641</v>
          </cell>
          <cell r="K689">
            <v>1600</v>
          </cell>
          <cell r="P689">
            <v>1964</v>
          </cell>
          <cell r="Q689">
            <v>9.2200000000000006</v>
          </cell>
          <cell r="R689">
            <v>0.38</v>
          </cell>
          <cell r="S689">
            <v>5.9</v>
          </cell>
          <cell r="T689">
            <v>123</v>
          </cell>
          <cell r="U689">
            <v>10</v>
          </cell>
        </row>
        <row r="690">
          <cell r="A690" t="str">
            <v>KBM-45H02-C (400 V)</v>
          </cell>
          <cell r="B690">
            <v>168</v>
          </cell>
          <cell r="C690">
            <v>97.2</v>
          </cell>
          <cell r="D690">
            <v>41.8</v>
          </cell>
          <cell r="E690">
            <v>21.1</v>
          </cell>
          <cell r="L690">
            <v>22.654882933908411</v>
          </cell>
          <cell r="M690">
            <v>2900</v>
          </cell>
          <cell r="P690">
            <v>3274</v>
          </cell>
          <cell r="Q690">
            <v>9.2200000000000006</v>
          </cell>
          <cell r="R690">
            <v>0.38</v>
          </cell>
          <cell r="S690">
            <v>5.9</v>
          </cell>
          <cell r="T690">
            <v>123</v>
          </cell>
          <cell r="U690">
            <v>10</v>
          </cell>
        </row>
        <row r="691">
          <cell r="A691" t="str">
            <v>KBM-45H02-C (480 V)</v>
          </cell>
          <cell r="B691">
            <v>168</v>
          </cell>
          <cell r="C691">
            <v>97.2</v>
          </cell>
          <cell r="D691">
            <v>41.8</v>
          </cell>
          <cell r="E691">
            <v>21.1</v>
          </cell>
          <cell r="N691">
            <v>12.34587629984274</v>
          </cell>
          <cell r="O691">
            <v>3500</v>
          </cell>
          <cell r="P691">
            <v>3929</v>
          </cell>
          <cell r="Q691">
            <v>9.2200000000000006</v>
          </cell>
          <cell r="R691">
            <v>0.38</v>
          </cell>
          <cell r="S691">
            <v>5.9</v>
          </cell>
          <cell r="T691">
            <v>123</v>
          </cell>
          <cell r="U691">
            <v>10</v>
          </cell>
        </row>
        <row r="692">
          <cell r="A692" t="str">
            <v>KBM-45H03-A (120 V)</v>
          </cell>
          <cell r="B692">
            <v>218</v>
          </cell>
          <cell r="C692">
            <v>64.5</v>
          </cell>
          <cell r="D692">
            <v>54.6</v>
          </cell>
          <cell r="E692">
            <v>14.1</v>
          </cell>
          <cell r="H692">
            <v>50.202016335272141</v>
          </cell>
          <cell r="I692">
            <v>350</v>
          </cell>
          <cell r="P692">
            <v>480</v>
          </cell>
          <cell r="Q692">
            <v>12.200000000000001</v>
          </cell>
          <cell r="R692">
            <v>0.93</v>
          </cell>
          <cell r="S692">
            <v>16</v>
          </cell>
          <cell r="T692">
            <v>240</v>
          </cell>
          <cell r="U692">
            <v>10</v>
          </cell>
        </row>
        <row r="693">
          <cell r="A693" t="str">
            <v>KBM-45H03-A (240 V)</v>
          </cell>
          <cell r="B693">
            <v>218</v>
          </cell>
          <cell r="C693">
            <v>64.5</v>
          </cell>
          <cell r="D693">
            <v>54.6</v>
          </cell>
          <cell r="E693">
            <v>14.1</v>
          </cell>
          <cell r="J693">
            <v>47.7464829275686</v>
          </cell>
          <cell r="K693">
            <v>800</v>
          </cell>
          <cell r="P693">
            <v>1005</v>
          </cell>
          <cell r="Q693">
            <v>12.200000000000001</v>
          </cell>
          <cell r="R693">
            <v>0.93</v>
          </cell>
          <cell r="S693">
            <v>16</v>
          </cell>
          <cell r="T693">
            <v>240</v>
          </cell>
          <cell r="U693">
            <v>10</v>
          </cell>
        </row>
        <row r="694">
          <cell r="A694" t="str">
            <v>KBM-45H03-A (400 V)</v>
          </cell>
          <cell r="B694">
            <v>218</v>
          </cell>
          <cell r="C694">
            <v>64.5</v>
          </cell>
          <cell r="D694">
            <v>54.6</v>
          </cell>
          <cell r="E694">
            <v>14.1</v>
          </cell>
          <cell r="L694">
            <v>43.688031878725276</v>
          </cell>
          <cell r="M694">
            <v>1400</v>
          </cell>
          <cell r="P694">
            <v>1676</v>
          </cell>
          <cell r="Q694">
            <v>12.200000000000001</v>
          </cell>
          <cell r="R694">
            <v>0.93</v>
          </cell>
          <cell r="S694">
            <v>16</v>
          </cell>
          <cell r="T694">
            <v>240</v>
          </cell>
          <cell r="U694">
            <v>10</v>
          </cell>
        </row>
        <row r="695">
          <cell r="A695" t="str">
            <v>KBM-45H03-A (480 V)</v>
          </cell>
          <cell r="B695">
            <v>218</v>
          </cell>
          <cell r="C695">
            <v>64.5</v>
          </cell>
          <cell r="D695">
            <v>54.6</v>
          </cell>
          <cell r="E695">
            <v>14.1</v>
          </cell>
          <cell r="N695">
            <v>40.837285986285153</v>
          </cell>
          <cell r="O695">
            <v>1700</v>
          </cell>
          <cell r="P695">
            <v>2011</v>
          </cell>
          <cell r="Q695">
            <v>12.200000000000001</v>
          </cell>
          <cell r="R695">
            <v>0.93</v>
          </cell>
          <cell r="S695">
            <v>16</v>
          </cell>
          <cell r="T695">
            <v>240</v>
          </cell>
          <cell r="U695">
            <v>10</v>
          </cell>
        </row>
        <row r="696">
          <cell r="A696" t="str">
            <v>KBM-45H03-B (120 V)</v>
          </cell>
          <cell r="B696">
            <v>216</v>
          </cell>
          <cell r="C696">
            <v>92.5</v>
          </cell>
          <cell r="D696">
            <v>53</v>
          </cell>
          <cell r="E696">
            <v>19.899999999999999</v>
          </cell>
          <cell r="H696">
            <v>49.482718670389282</v>
          </cell>
          <cell r="I696">
            <v>550</v>
          </cell>
          <cell r="P696">
            <v>699</v>
          </cell>
          <cell r="Q696">
            <v>12.200000000000001</v>
          </cell>
          <cell r="R696">
            <v>0.47</v>
          </cell>
          <cell r="S696">
            <v>7.7</v>
          </cell>
          <cell r="T696">
            <v>165</v>
          </cell>
          <cell r="U696">
            <v>10</v>
          </cell>
        </row>
        <row r="697">
          <cell r="A697" t="str">
            <v>KBM-45H03-B (240 V)</v>
          </cell>
          <cell r="B697">
            <v>216</v>
          </cell>
          <cell r="C697">
            <v>92.5</v>
          </cell>
          <cell r="D697">
            <v>53</v>
          </cell>
          <cell r="E697">
            <v>19.899999999999999</v>
          </cell>
          <cell r="J697">
            <v>45.50447416401321</v>
          </cell>
          <cell r="K697">
            <v>1150</v>
          </cell>
          <cell r="P697">
            <v>1459</v>
          </cell>
          <cell r="Q697">
            <v>12.200000000000001</v>
          </cell>
          <cell r="R697">
            <v>0.47</v>
          </cell>
          <cell r="S697">
            <v>7.7</v>
          </cell>
          <cell r="T697">
            <v>165</v>
          </cell>
          <cell r="U697">
            <v>10</v>
          </cell>
        </row>
        <row r="698">
          <cell r="A698" t="str">
            <v>KBM-45H03-B (400 V)</v>
          </cell>
          <cell r="B698">
            <v>216</v>
          </cell>
          <cell r="C698">
            <v>92.5</v>
          </cell>
          <cell r="D698">
            <v>53</v>
          </cell>
          <cell r="E698">
            <v>19.899999999999999</v>
          </cell>
          <cell r="L698">
            <v>33.533576381687716</v>
          </cell>
          <cell r="M698">
            <v>2150</v>
          </cell>
          <cell r="P698">
            <v>2432</v>
          </cell>
          <cell r="Q698">
            <v>12.200000000000001</v>
          </cell>
          <cell r="R698">
            <v>0.47</v>
          </cell>
          <cell r="S698">
            <v>7.7</v>
          </cell>
          <cell r="T698">
            <v>165</v>
          </cell>
          <cell r="U698">
            <v>10</v>
          </cell>
        </row>
        <row r="699">
          <cell r="A699" t="str">
            <v>KBM-45H03-B (480 V)</v>
          </cell>
          <cell r="B699">
            <v>216</v>
          </cell>
          <cell r="C699">
            <v>92.5</v>
          </cell>
          <cell r="D699">
            <v>53</v>
          </cell>
          <cell r="E699">
            <v>19.899999999999999</v>
          </cell>
          <cell r="N699">
            <v>24.699622899069141</v>
          </cell>
          <cell r="O699">
            <v>2600</v>
          </cell>
          <cell r="P699">
            <v>2918</v>
          </cell>
          <cell r="Q699">
            <v>12.200000000000001</v>
          </cell>
          <cell r="R699">
            <v>0.47</v>
          </cell>
          <cell r="S699">
            <v>7.7</v>
          </cell>
          <cell r="T699">
            <v>165</v>
          </cell>
          <cell r="U699">
            <v>10</v>
          </cell>
        </row>
        <row r="700">
          <cell r="A700" t="str">
            <v>KBM-43H01-A (400 V)</v>
          </cell>
          <cell r="B700">
            <v>18</v>
          </cell>
          <cell r="C700">
            <v>18</v>
          </cell>
          <cell r="D700">
            <v>6.12</v>
          </cell>
          <cell r="E700">
            <v>5.12</v>
          </cell>
          <cell r="L700">
            <v>4.82490774847009</v>
          </cell>
          <cell r="M700">
            <v>4750</v>
          </cell>
          <cell r="P700">
            <v>5478</v>
          </cell>
          <cell r="Q700">
            <v>1.9400000000000002</v>
          </cell>
          <cell r="R700">
            <v>2.9</v>
          </cell>
          <cell r="S700">
            <v>6.8</v>
          </cell>
          <cell r="T700">
            <v>72.8</v>
          </cell>
          <cell r="U700">
            <v>16</v>
          </cell>
        </row>
        <row r="701">
          <cell r="A701" t="str">
            <v>KBM-43H02-A (400 V)</v>
          </cell>
          <cell r="B701">
            <v>34.5</v>
          </cell>
          <cell r="C701">
            <v>18</v>
          </cell>
          <cell r="D701">
            <v>11.6</v>
          </cell>
          <cell r="E701">
            <v>5.12</v>
          </cell>
          <cell r="L701">
            <v>9.9780405138429078</v>
          </cell>
          <cell r="M701">
            <v>2450</v>
          </cell>
          <cell r="P701">
            <v>2866</v>
          </cell>
          <cell r="Q701">
            <v>2.85</v>
          </cell>
          <cell r="R701">
            <v>3.55</v>
          </cell>
          <cell r="S701">
            <v>12</v>
          </cell>
          <cell r="T701">
            <v>139</v>
          </cell>
          <cell r="U701">
            <v>16</v>
          </cell>
        </row>
        <row r="702">
          <cell r="A702" t="str">
            <v>KBM-43H02-A (480 V)</v>
          </cell>
          <cell r="B702">
            <v>34.5</v>
          </cell>
          <cell r="C702">
            <v>18</v>
          </cell>
          <cell r="D702">
            <v>11.6</v>
          </cell>
          <cell r="E702">
            <v>5.12</v>
          </cell>
          <cell r="N702">
            <v>6.8754935415698784</v>
          </cell>
          <cell r="O702">
            <v>3000</v>
          </cell>
          <cell r="P702">
            <v>3439</v>
          </cell>
          <cell r="Q702">
            <v>2.85</v>
          </cell>
          <cell r="R702">
            <v>3.55</v>
          </cell>
          <cell r="S702">
            <v>12</v>
          </cell>
          <cell r="T702">
            <v>139</v>
          </cell>
          <cell r="U702">
            <v>16</v>
          </cell>
        </row>
        <row r="703">
          <cell r="A703" t="str">
            <v>KBM-43H03-A (400 V)</v>
          </cell>
          <cell r="B703">
            <v>64.5</v>
          </cell>
          <cell r="C703">
            <v>18</v>
          </cell>
          <cell r="D703">
            <v>21</v>
          </cell>
          <cell r="E703">
            <v>4.78</v>
          </cell>
          <cell r="L703">
            <v>18.636530433018713</v>
          </cell>
          <cell r="M703">
            <v>1240</v>
          </cell>
          <cell r="P703">
            <v>1491</v>
          </cell>
          <cell r="Q703">
            <v>4.75</v>
          </cell>
          <cell r="R703">
            <v>4.83</v>
          </cell>
          <cell r="S703">
            <v>19</v>
          </cell>
          <cell r="T703">
            <v>268</v>
          </cell>
          <cell r="U703">
            <v>16</v>
          </cell>
        </row>
        <row r="704">
          <cell r="A704" t="str">
            <v>KBM-43H03-A (480 V)</v>
          </cell>
          <cell r="B704">
            <v>64.5</v>
          </cell>
          <cell r="C704">
            <v>18</v>
          </cell>
          <cell r="D704">
            <v>21</v>
          </cell>
          <cell r="E704">
            <v>4.78</v>
          </cell>
          <cell r="N704">
            <v>16.182532804310163</v>
          </cell>
          <cell r="O704">
            <v>1490</v>
          </cell>
          <cell r="P704">
            <v>1790</v>
          </cell>
          <cell r="Q704">
            <v>4.75</v>
          </cell>
          <cell r="R704">
            <v>4.83</v>
          </cell>
          <cell r="S704">
            <v>19</v>
          </cell>
          <cell r="T704">
            <v>268</v>
          </cell>
          <cell r="U704">
            <v>16</v>
          </cell>
        </row>
        <row r="705">
          <cell r="A705" t="str">
            <v>KBM-43S01-A (240 V)</v>
          </cell>
          <cell r="B705">
            <v>18</v>
          </cell>
          <cell r="C705">
            <v>18</v>
          </cell>
          <cell r="D705">
            <v>6.12</v>
          </cell>
          <cell r="E705">
            <v>5.12</v>
          </cell>
          <cell r="J705">
            <v>4.9618894022767375</v>
          </cell>
          <cell r="K705">
            <v>2550</v>
          </cell>
          <cell r="P705">
            <v>3284</v>
          </cell>
          <cell r="Q705">
            <v>1.9400000000000002</v>
          </cell>
          <cell r="R705">
            <v>2.9</v>
          </cell>
          <cell r="S705">
            <v>6.8</v>
          </cell>
          <cell r="T705">
            <v>72.8</v>
          </cell>
          <cell r="U705">
            <v>16</v>
          </cell>
        </row>
        <row r="706">
          <cell r="A706" t="str">
            <v>KBM-43S02-A (240 V)</v>
          </cell>
          <cell r="B706">
            <v>34.5</v>
          </cell>
          <cell r="C706">
            <v>18</v>
          </cell>
          <cell r="D706">
            <v>11.6</v>
          </cell>
          <cell r="E706">
            <v>5.12</v>
          </cell>
          <cell r="J706">
            <v>10.136945606160719</v>
          </cell>
          <cell r="K706">
            <v>1300</v>
          </cell>
          <cell r="P706">
            <v>1717</v>
          </cell>
          <cell r="Q706">
            <v>2.85</v>
          </cell>
          <cell r="R706">
            <v>3.55</v>
          </cell>
          <cell r="S706">
            <v>12</v>
          </cell>
          <cell r="T706">
            <v>139</v>
          </cell>
          <cell r="U706">
            <v>16</v>
          </cell>
        </row>
        <row r="707">
          <cell r="A707" t="str">
            <v>KBM-43S03-A (240 V)</v>
          </cell>
          <cell r="B707">
            <v>64.5</v>
          </cell>
          <cell r="C707">
            <v>18</v>
          </cell>
          <cell r="D707">
            <v>21</v>
          </cell>
          <cell r="E707">
            <v>4.78</v>
          </cell>
          <cell r="J707">
            <v>18.813539541609121</v>
          </cell>
          <cell r="K707">
            <v>670</v>
          </cell>
          <cell r="P707">
            <v>893</v>
          </cell>
          <cell r="Q707">
            <v>4.75</v>
          </cell>
          <cell r="R707">
            <v>4.83</v>
          </cell>
          <cell r="S707">
            <v>19</v>
          </cell>
          <cell r="T707">
            <v>268</v>
          </cell>
          <cell r="U707">
            <v>16</v>
          </cell>
        </row>
        <row r="708">
          <cell r="A708" t="str">
            <v>KBM-57H01-A (400 V)</v>
          </cell>
          <cell r="B708">
            <v>46.1</v>
          </cell>
          <cell r="C708">
            <v>18</v>
          </cell>
          <cell r="D708">
            <v>18.8</v>
          </cell>
          <cell r="E708">
            <v>5.67</v>
          </cell>
          <cell r="L708">
            <v>13.222102964557459</v>
          </cell>
          <cell r="M708">
            <v>1625</v>
          </cell>
          <cell r="P708">
            <v>1975</v>
          </cell>
          <cell r="Q708">
            <v>6.56</v>
          </cell>
          <cell r="R708">
            <v>3.39</v>
          </cell>
          <cell r="S708">
            <v>13</v>
          </cell>
          <cell r="T708">
            <v>203</v>
          </cell>
          <cell r="U708">
            <v>24</v>
          </cell>
        </row>
        <row r="709">
          <cell r="A709" t="str">
            <v>KBM-57H01-A (480 V)</v>
          </cell>
          <cell r="B709">
            <v>46.1</v>
          </cell>
          <cell r="C709">
            <v>18</v>
          </cell>
          <cell r="D709">
            <v>18.8</v>
          </cell>
          <cell r="E709">
            <v>5.67</v>
          </cell>
          <cell r="N709">
            <v>10.713844949600761</v>
          </cell>
          <cell r="O709">
            <v>2050</v>
          </cell>
          <cell r="P709">
            <v>2370</v>
          </cell>
          <cell r="Q709">
            <v>6.56</v>
          </cell>
          <cell r="R709">
            <v>3.39</v>
          </cell>
          <cell r="S709">
            <v>13</v>
          </cell>
          <cell r="T709">
            <v>203</v>
          </cell>
          <cell r="U709">
            <v>24</v>
          </cell>
        </row>
        <row r="710">
          <cell r="A710" t="str">
            <v>KBM-57H02-A (400 V)</v>
          </cell>
          <cell r="B710">
            <v>115</v>
          </cell>
          <cell r="C710">
            <v>23.4</v>
          </cell>
          <cell r="D710">
            <v>33.5</v>
          </cell>
          <cell r="E710">
            <v>5.22</v>
          </cell>
          <cell r="L710">
            <v>26.795904964199107</v>
          </cell>
          <cell r="M710">
            <v>825</v>
          </cell>
          <cell r="P710">
            <v>1023</v>
          </cell>
          <cell r="Q710">
            <v>11.799999999999999</v>
          </cell>
          <cell r="R710">
            <v>4.4000000000000004</v>
          </cell>
          <cell r="S710">
            <v>22</v>
          </cell>
          <cell r="T710">
            <v>390</v>
          </cell>
          <cell r="U710">
            <v>24</v>
          </cell>
        </row>
        <row r="711">
          <cell r="A711" t="str">
            <v>KBM-57H02-A (480 V)</v>
          </cell>
          <cell r="B711">
            <v>115</v>
          </cell>
          <cell r="C711">
            <v>23.4</v>
          </cell>
          <cell r="D711">
            <v>33.5</v>
          </cell>
          <cell r="E711">
            <v>5.22</v>
          </cell>
          <cell r="N711">
            <v>24.931661036070302</v>
          </cell>
          <cell r="O711">
            <v>1015</v>
          </cell>
          <cell r="P711">
            <v>1228</v>
          </cell>
          <cell r="Q711">
            <v>11.799999999999999</v>
          </cell>
          <cell r="R711">
            <v>4.4000000000000004</v>
          </cell>
          <cell r="S711">
            <v>22</v>
          </cell>
          <cell r="T711">
            <v>390</v>
          </cell>
          <cell r="U711">
            <v>24</v>
          </cell>
        </row>
        <row r="712">
          <cell r="A712" t="str">
            <v>KBM-57H03-A (400 V)</v>
          </cell>
          <cell r="B712">
            <v>218</v>
          </cell>
          <cell r="C712">
            <v>26.1</v>
          </cell>
          <cell r="D712">
            <v>59.9</v>
          </cell>
          <cell r="E712">
            <v>5.47</v>
          </cell>
          <cell r="L712">
            <v>51.264644827494706</v>
          </cell>
          <cell r="M712">
            <v>475</v>
          </cell>
          <cell r="P712">
            <v>597</v>
          </cell>
          <cell r="Q712">
            <v>22.1</v>
          </cell>
          <cell r="R712">
            <v>5.92</v>
          </cell>
          <cell r="S712">
            <v>35</v>
          </cell>
          <cell r="T712">
            <v>669</v>
          </cell>
          <cell r="U712">
            <v>24</v>
          </cell>
        </row>
        <row r="713">
          <cell r="A713" t="str">
            <v>KBM-57H03-A (480 V)</v>
          </cell>
          <cell r="B713">
            <v>218</v>
          </cell>
          <cell r="C713">
            <v>26.1</v>
          </cell>
          <cell r="D713">
            <v>59.9</v>
          </cell>
          <cell r="E713">
            <v>5.47</v>
          </cell>
          <cell r="N713">
            <v>49.392913373346836</v>
          </cell>
          <cell r="O713">
            <v>580</v>
          </cell>
          <cell r="P713">
            <v>717</v>
          </cell>
          <cell r="Q713">
            <v>22.1</v>
          </cell>
          <cell r="R713">
            <v>5.92</v>
          </cell>
          <cell r="S713">
            <v>35</v>
          </cell>
          <cell r="T713">
            <v>669</v>
          </cell>
          <cell r="U713">
            <v>24</v>
          </cell>
        </row>
        <row r="714">
          <cell r="A714" t="str">
            <v>KBM-57S01-A (240 V)</v>
          </cell>
          <cell r="B714">
            <v>46.1</v>
          </cell>
          <cell r="C714">
            <v>18</v>
          </cell>
          <cell r="D714">
            <v>18.8</v>
          </cell>
          <cell r="E714">
            <v>5.67</v>
          </cell>
          <cell r="J714">
            <v>16.00592325412811</v>
          </cell>
          <cell r="K714">
            <v>880</v>
          </cell>
          <cell r="P714">
            <v>1183</v>
          </cell>
          <cell r="Q714">
            <v>6.56</v>
          </cell>
          <cell r="R714">
            <v>3.39</v>
          </cell>
          <cell r="S714">
            <v>13</v>
          </cell>
          <cell r="T714">
            <v>203</v>
          </cell>
          <cell r="U714">
            <v>24</v>
          </cell>
        </row>
        <row r="715">
          <cell r="A715" t="str">
            <v>KBM-57S02-A (240 V)</v>
          </cell>
          <cell r="B715">
            <v>115</v>
          </cell>
          <cell r="C715">
            <v>23.4</v>
          </cell>
          <cell r="D715">
            <v>33.5</v>
          </cell>
          <cell r="E715">
            <v>5.22</v>
          </cell>
          <cell r="J715">
            <v>29.506253494564866</v>
          </cell>
          <cell r="K715">
            <v>445</v>
          </cell>
          <cell r="P715">
            <v>612</v>
          </cell>
          <cell r="Q715">
            <v>11.799999999999999</v>
          </cell>
          <cell r="R715">
            <v>4.4000000000000004</v>
          </cell>
          <cell r="S715">
            <v>22</v>
          </cell>
          <cell r="T715">
            <v>390</v>
          </cell>
          <cell r="U715">
            <v>24</v>
          </cell>
        </row>
        <row r="716">
          <cell r="A716" t="str">
            <v>KBM-57S03-A (240 V)</v>
          </cell>
          <cell r="B716">
            <v>218</v>
          </cell>
          <cell r="C716">
            <v>26.1</v>
          </cell>
          <cell r="D716">
            <v>59.9</v>
          </cell>
          <cell r="E716">
            <v>5.47</v>
          </cell>
          <cell r="J716">
            <v>53.858032742297389</v>
          </cell>
          <cell r="K716">
            <v>250</v>
          </cell>
          <cell r="P716">
            <v>357</v>
          </cell>
          <cell r="Q716">
            <v>22.1</v>
          </cell>
          <cell r="R716">
            <v>5.92</v>
          </cell>
          <cell r="S716">
            <v>35</v>
          </cell>
          <cell r="T716">
            <v>669</v>
          </cell>
          <cell r="U716">
            <v>24</v>
          </cell>
        </row>
        <row r="717">
          <cell r="A717" t="str">
            <v>KBM-79H01-A (400 V)</v>
          </cell>
          <cell r="B717">
            <v>152</v>
          </cell>
          <cell r="C717">
            <v>20.8</v>
          </cell>
          <cell r="D717">
            <v>43.4</v>
          </cell>
          <cell r="E717">
            <v>4.95</v>
          </cell>
          <cell r="L717">
            <v>35.571129781038607</v>
          </cell>
          <cell r="M717">
            <v>600</v>
          </cell>
          <cell r="P717">
            <v>744</v>
          </cell>
          <cell r="Q717">
            <v>32.5</v>
          </cell>
          <cell r="R717">
            <v>6.26</v>
          </cell>
          <cell r="S717">
            <v>23</v>
          </cell>
          <cell r="T717">
            <v>534</v>
          </cell>
          <cell r="U717">
            <v>32</v>
          </cell>
        </row>
        <row r="718">
          <cell r="A718" t="str">
            <v>KBM-79H01-A (480 V)</v>
          </cell>
          <cell r="B718">
            <v>152</v>
          </cell>
          <cell r="C718">
            <v>20.8</v>
          </cell>
          <cell r="D718">
            <v>43.4</v>
          </cell>
          <cell r="E718">
            <v>4.95</v>
          </cell>
          <cell r="N718">
            <v>33.814974895278034</v>
          </cell>
          <cell r="O718">
            <v>730</v>
          </cell>
          <cell r="P718">
            <v>894</v>
          </cell>
          <cell r="Q718">
            <v>32.5</v>
          </cell>
          <cell r="R718">
            <v>6.26</v>
          </cell>
          <cell r="S718">
            <v>23</v>
          </cell>
          <cell r="T718">
            <v>534</v>
          </cell>
          <cell r="U718">
            <v>32</v>
          </cell>
        </row>
        <row r="719">
          <cell r="A719" t="str">
            <v>KBM-79H02-A (400 V)</v>
          </cell>
          <cell r="B719">
            <v>319</v>
          </cell>
          <cell r="C719">
            <v>26.1</v>
          </cell>
          <cell r="D719">
            <v>79.31</v>
          </cell>
          <cell r="E719">
            <v>5.39</v>
          </cell>
          <cell r="L719">
            <v>67.254331666546648</v>
          </cell>
          <cell r="M719">
            <v>350</v>
          </cell>
          <cell r="P719">
            <v>443</v>
          </cell>
          <cell r="Q719">
            <v>59.7</v>
          </cell>
          <cell r="R719">
            <v>6.4</v>
          </cell>
          <cell r="S719">
            <v>32</v>
          </cell>
          <cell r="T719">
            <v>901</v>
          </cell>
          <cell r="U719">
            <v>32</v>
          </cell>
        </row>
        <row r="720">
          <cell r="A720" t="str">
            <v>KBM-79H02-A (480 V)</v>
          </cell>
          <cell r="B720">
            <v>319</v>
          </cell>
          <cell r="C720">
            <v>26.1</v>
          </cell>
          <cell r="D720">
            <v>79.31</v>
          </cell>
          <cell r="E720">
            <v>5.39</v>
          </cell>
          <cell r="N720">
            <v>64.846386115581552</v>
          </cell>
          <cell r="O720">
            <v>430</v>
          </cell>
          <cell r="P720">
            <v>532</v>
          </cell>
          <cell r="Q720">
            <v>59.7</v>
          </cell>
          <cell r="R720">
            <v>6.4</v>
          </cell>
          <cell r="S720">
            <v>32</v>
          </cell>
          <cell r="T720">
            <v>901</v>
          </cell>
          <cell r="U720">
            <v>32</v>
          </cell>
        </row>
        <row r="721">
          <cell r="A721" t="str">
            <v>KBM-79H03-A (400 V)</v>
          </cell>
          <cell r="B721">
            <v>637</v>
          </cell>
          <cell r="C721">
            <v>36.700000000000003</v>
          </cell>
          <cell r="D721">
            <v>143</v>
          </cell>
          <cell r="E721">
            <v>6.76</v>
          </cell>
          <cell r="L721">
            <v>122.74824985962429</v>
          </cell>
          <cell r="M721">
            <v>240</v>
          </cell>
          <cell r="P721">
            <v>307</v>
          </cell>
          <cell r="Q721">
            <v>114</v>
          </cell>
          <cell r="R721">
            <v>5.75</v>
          </cell>
          <cell r="S721">
            <v>34</v>
          </cell>
          <cell r="T721">
            <v>1300</v>
          </cell>
          <cell r="U721">
            <v>32</v>
          </cell>
        </row>
        <row r="722">
          <cell r="A722" t="str">
            <v>KBM-79H03-A (480 V)</v>
          </cell>
          <cell r="B722">
            <v>637</v>
          </cell>
          <cell r="C722">
            <v>36.700000000000003</v>
          </cell>
          <cell r="D722">
            <v>143</v>
          </cell>
          <cell r="E722">
            <v>6.76</v>
          </cell>
          <cell r="N722">
            <v>119.2070523758296</v>
          </cell>
          <cell r="O722">
            <v>300</v>
          </cell>
          <cell r="P722">
            <v>369</v>
          </cell>
          <cell r="Q722">
            <v>114</v>
          </cell>
          <cell r="R722">
            <v>5.75</v>
          </cell>
          <cell r="S722">
            <v>34</v>
          </cell>
          <cell r="T722">
            <v>1300</v>
          </cell>
          <cell r="U722">
            <v>32</v>
          </cell>
        </row>
        <row r="723">
          <cell r="A723" t="str">
            <v>KBM-79S01-A (240 V)</v>
          </cell>
          <cell r="B723">
            <v>152</v>
          </cell>
          <cell r="C723">
            <v>20.8</v>
          </cell>
          <cell r="D723">
            <v>43.4</v>
          </cell>
          <cell r="E723">
            <v>4.95</v>
          </cell>
          <cell r="J723">
            <v>38.505228167394037</v>
          </cell>
          <cell r="K723">
            <v>310</v>
          </cell>
          <cell r="P723">
            <v>445</v>
          </cell>
          <cell r="Q723">
            <v>32.5</v>
          </cell>
          <cell r="R723">
            <v>6.26</v>
          </cell>
          <cell r="S723">
            <v>23</v>
          </cell>
          <cell r="T723">
            <v>534</v>
          </cell>
          <cell r="U723">
            <v>32</v>
          </cell>
        </row>
        <row r="724">
          <cell r="A724" t="str">
            <v>KBM-79S02-A (240 V)</v>
          </cell>
          <cell r="B724">
            <v>319</v>
          </cell>
          <cell r="C724">
            <v>26.1</v>
          </cell>
          <cell r="D724">
            <v>79.31</v>
          </cell>
          <cell r="E724">
            <v>5.39</v>
          </cell>
          <cell r="J724">
            <v>71.354466152866408</v>
          </cell>
          <cell r="K724">
            <v>180</v>
          </cell>
          <cell r="P724">
            <v>265</v>
          </cell>
          <cell r="Q724">
            <v>59.7</v>
          </cell>
          <cell r="R724">
            <v>6.4</v>
          </cell>
          <cell r="S724">
            <v>32</v>
          </cell>
          <cell r="T724">
            <v>901</v>
          </cell>
          <cell r="U724">
            <v>32</v>
          </cell>
        </row>
        <row r="725">
          <cell r="A725" t="str">
            <v>KBM-79S03-A (240 V)</v>
          </cell>
          <cell r="B725">
            <v>637</v>
          </cell>
          <cell r="C725">
            <v>36.700000000000003</v>
          </cell>
          <cell r="D725">
            <v>143</v>
          </cell>
          <cell r="E725">
            <v>6.76</v>
          </cell>
          <cell r="J725">
            <v>128.72451797272495</v>
          </cell>
          <cell r="K725">
            <v>125</v>
          </cell>
          <cell r="P725">
            <v>184</v>
          </cell>
          <cell r="Q725">
            <v>114</v>
          </cell>
          <cell r="R725">
            <v>5.75</v>
          </cell>
          <cell r="S725">
            <v>34</v>
          </cell>
          <cell r="T725">
            <v>1300</v>
          </cell>
          <cell r="U725">
            <v>32</v>
          </cell>
        </row>
        <row r="726">
          <cell r="A726" t="str">
            <v>KBM-118H01-A (400 V)</v>
          </cell>
          <cell r="B726">
            <v>994</v>
          </cell>
          <cell r="C726">
            <v>151</v>
          </cell>
          <cell r="D726">
            <v>325</v>
          </cell>
          <cell r="E726">
            <v>43.7</v>
          </cell>
          <cell r="L726">
            <v>109.48238123518914</v>
          </cell>
          <cell r="M726">
            <v>785</v>
          </cell>
          <cell r="P726">
            <v>872</v>
          </cell>
          <cell r="Q726">
            <v>267</v>
          </cell>
          <cell r="R726">
            <v>0.27600000000000002</v>
          </cell>
          <cell r="S726">
            <v>2.5</v>
          </cell>
          <cell r="T726">
            <v>648</v>
          </cell>
          <cell r="U726">
            <v>38</v>
          </cell>
        </row>
        <row r="727">
          <cell r="A727" t="str">
            <v>KBM-118H02-A (400 V)</v>
          </cell>
          <cell r="B727">
            <v>1451</v>
          </cell>
          <cell r="C727">
            <v>171</v>
          </cell>
          <cell r="D727">
            <v>445</v>
          </cell>
          <cell r="E727">
            <v>46.5</v>
          </cell>
          <cell r="L727">
            <v>239.54167706034417</v>
          </cell>
          <cell r="M727">
            <v>590</v>
          </cell>
          <cell r="P727">
            <v>685</v>
          </cell>
          <cell r="Q727">
            <v>396</v>
          </cell>
          <cell r="R727">
            <v>0.29199999999999998</v>
          </cell>
          <cell r="S727">
            <v>2.7</v>
          </cell>
          <cell r="T727">
            <v>585</v>
          </cell>
          <cell r="U727">
            <v>38</v>
          </cell>
        </row>
        <row r="728">
          <cell r="A728" t="str">
            <v>KBM-118H02-A (480 V)</v>
          </cell>
          <cell r="B728">
            <v>1451</v>
          </cell>
          <cell r="C728">
            <v>171</v>
          </cell>
          <cell r="D728">
            <v>445</v>
          </cell>
          <cell r="E728">
            <v>46.5</v>
          </cell>
          <cell r="N728">
            <v>139.13728616498514</v>
          </cell>
          <cell r="O728">
            <v>710</v>
          </cell>
          <cell r="P728">
            <v>822</v>
          </cell>
          <cell r="Q728">
            <v>396</v>
          </cell>
          <cell r="R728">
            <v>0.29199999999999998</v>
          </cell>
          <cell r="S728">
            <v>2.7</v>
          </cell>
          <cell r="T728">
            <v>585</v>
          </cell>
          <cell r="U728">
            <v>38</v>
          </cell>
        </row>
        <row r="729">
          <cell r="A729" t="str">
            <v>KBM-118H03-A (400 V)</v>
          </cell>
          <cell r="B729">
            <v>1932</v>
          </cell>
          <cell r="C729">
            <v>171</v>
          </cell>
          <cell r="D729">
            <v>560</v>
          </cell>
          <cell r="E729">
            <v>44</v>
          </cell>
          <cell r="L729">
            <v>374.83733148884318</v>
          </cell>
          <cell r="M729">
            <v>435</v>
          </cell>
          <cell r="P729">
            <v>516</v>
          </cell>
          <cell r="Q729">
            <v>542</v>
          </cell>
          <cell r="R729">
            <v>0.373</v>
          </cell>
          <cell r="S729">
            <v>4.3</v>
          </cell>
          <cell r="T729">
            <v>775</v>
          </cell>
          <cell r="U729">
            <v>38</v>
          </cell>
        </row>
        <row r="730">
          <cell r="A730" t="str">
            <v>KBM-118H03-A (480 V)</v>
          </cell>
          <cell r="B730">
            <v>1932</v>
          </cell>
          <cell r="C730">
            <v>171</v>
          </cell>
          <cell r="D730">
            <v>560</v>
          </cell>
          <cell r="E730">
            <v>44</v>
          </cell>
          <cell r="N730">
            <v>302.72162633703306</v>
          </cell>
          <cell r="O730">
            <v>535</v>
          </cell>
          <cell r="P730">
            <v>619</v>
          </cell>
          <cell r="Q730">
            <v>542</v>
          </cell>
          <cell r="R730">
            <v>0.373</v>
          </cell>
          <cell r="S730">
            <v>4.3</v>
          </cell>
          <cell r="T730">
            <v>775</v>
          </cell>
          <cell r="U730">
            <v>38</v>
          </cell>
        </row>
        <row r="731">
          <cell r="A731" t="str">
            <v>KBM-118H04-A (400 V)</v>
          </cell>
          <cell r="B731">
            <v>2400</v>
          </cell>
          <cell r="C731">
            <v>171</v>
          </cell>
          <cell r="D731">
            <v>672</v>
          </cell>
          <cell r="E731">
            <v>42.8</v>
          </cell>
          <cell r="L731">
            <v>502.32108656444967</v>
          </cell>
          <cell r="M731">
            <v>340</v>
          </cell>
          <cell r="P731">
            <v>413</v>
          </cell>
          <cell r="Q731">
            <v>648</v>
          </cell>
          <cell r="R731">
            <v>0.45500000000000002</v>
          </cell>
          <cell r="S731">
            <v>4.5</v>
          </cell>
          <cell r="T731">
            <v>970</v>
          </cell>
          <cell r="U731">
            <v>38</v>
          </cell>
        </row>
        <row r="732">
          <cell r="A732" t="str">
            <v>KBM-118H04-A (480 V)</v>
          </cell>
          <cell r="B732">
            <v>2400</v>
          </cell>
          <cell r="C732">
            <v>171</v>
          </cell>
          <cell r="D732">
            <v>672</v>
          </cell>
          <cell r="E732">
            <v>42.8</v>
          </cell>
          <cell r="N732">
            <v>450.74953525668928</v>
          </cell>
          <cell r="O732">
            <v>420</v>
          </cell>
          <cell r="P732">
            <v>495</v>
          </cell>
          <cell r="Q732">
            <v>648</v>
          </cell>
          <cell r="R732">
            <v>0.45500000000000002</v>
          </cell>
          <cell r="S732">
            <v>4.5</v>
          </cell>
          <cell r="T732">
            <v>970</v>
          </cell>
          <cell r="U732">
            <v>38</v>
          </cell>
        </row>
        <row r="733">
          <cell r="A733" t="str">
            <v>KBM-118S01-A (240 V)</v>
          </cell>
          <cell r="B733">
            <v>994</v>
          </cell>
          <cell r="C733">
            <v>151</v>
          </cell>
          <cell r="D733">
            <v>325</v>
          </cell>
          <cell r="E733">
            <v>43.7</v>
          </cell>
          <cell r="J733">
            <v>252.45952847951898</v>
          </cell>
          <cell r="K733">
            <v>400</v>
          </cell>
          <cell r="P733">
            <v>523</v>
          </cell>
          <cell r="Q733">
            <v>267</v>
          </cell>
          <cell r="R733">
            <v>0.27600000000000002</v>
          </cell>
          <cell r="S733">
            <v>2.5</v>
          </cell>
          <cell r="T733">
            <v>648</v>
          </cell>
          <cell r="U733">
            <v>38</v>
          </cell>
        </row>
        <row r="734">
          <cell r="A734" t="str">
            <v>KBM-118S02-A (240 V)</v>
          </cell>
          <cell r="B734">
            <v>1451</v>
          </cell>
          <cell r="C734">
            <v>171</v>
          </cell>
          <cell r="D734">
            <v>445</v>
          </cell>
          <cell r="E734">
            <v>46.5</v>
          </cell>
          <cell r="J734">
            <v>356.90495988357532</v>
          </cell>
          <cell r="K734">
            <v>320</v>
          </cell>
          <cell r="P734">
            <v>411</v>
          </cell>
          <cell r="Q734">
            <v>396</v>
          </cell>
          <cell r="R734">
            <v>0.29199999999999998</v>
          </cell>
          <cell r="S734">
            <v>2.7</v>
          </cell>
          <cell r="T734">
            <v>585</v>
          </cell>
          <cell r="U734">
            <v>38</v>
          </cell>
        </row>
        <row r="735">
          <cell r="A735" t="str">
            <v>KBM-118S03-A (240 V)</v>
          </cell>
          <cell r="B735">
            <v>1932</v>
          </cell>
          <cell r="C735">
            <v>171</v>
          </cell>
          <cell r="D735">
            <v>560</v>
          </cell>
          <cell r="E735">
            <v>44</v>
          </cell>
          <cell r="J735">
            <v>467.30600312088416</v>
          </cell>
          <cell r="K735">
            <v>235</v>
          </cell>
          <cell r="P735">
            <v>309</v>
          </cell>
          <cell r="Q735">
            <v>542</v>
          </cell>
          <cell r="R735">
            <v>0.373</v>
          </cell>
          <cell r="S735">
            <v>4.3</v>
          </cell>
          <cell r="T735">
            <v>775</v>
          </cell>
          <cell r="U735">
            <v>38</v>
          </cell>
        </row>
        <row r="736">
          <cell r="A736" t="str">
            <v>KBM-118S04-A (240 V)</v>
          </cell>
          <cell r="B736">
            <v>2400</v>
          </cell>
          <cell r="C736">
            <v>171</v>
          </cell>
          <cell r="D736">
            <v>672</v>
          </cell>
          <cell r="E736">
            <v>42.8</v>
          </cell>
          <cell r="J736">
            <v>577.08722068131567</v>
          </cell>
          <cell r="K736">
            <v>185</v>
          </cell>
          <cell r="P736">
            <v>247</v>
          </cell>
          <cell r="Q736">
            <v>648</v>
          </cell>
          <cell r="R736">
            <v>0.45500000000000002</v>
          </cell>
          <cell r="S736">
            <v>4.5</v>
          </cell>
          <cell r="T736">
            <v>970</v>
          </cell>
          <cell r="U736">
            <v>38</v>
          </cell>
        </row>
        <row r="737">
          <cell r="A737" t="str">
            <v>KBM-60H01-A (400 V)</v>
          </cell>
          <cell r="B737">
            <v>127</v>
          </cell>
          <cell r="C737">
            <v>40</v>
          </cell>
          <cell r="D737">
            <v>54</v>
          </cell>
          <cell r="E737">
            <v>13.7</v>
          </cell>
          <cell r="L737">
            <v>34.759439571269944</v>
          </cell>
          <cell r="M737">
            <v>1250</v>
          </cell>
          <cell r="P737">
            <v>1639</v>
          </cell>
          <cell r="Q737">
            <v>16.299999999999997</v>
          </cell>
          <cell r="R737">
            <v>0.91600000000000004</v>
          </cell>
          <cell r="S737">
            <v>7.8</v>
          </cell>
          <cell r="T737">
            <v>245</v>
          </cell>
          <cell r="U737">
            <v>38</v>
          </cell>
        </row>
        <row r="738">
          <cell r="A738" t="str">
            <v>KBM-60H01-A (480 V)</v>
          </cell>
          <cell r="B738">
            <v>127</v>
          </cell>
          <cell r="C738">
            <v>40</v>
          </cell>
          <cell r="D738">
            <v>54</v>
          </cell>
          <cell r="E738">
            <v>13.7</v>
          </cell>
          <cell r="N738">
            <v>24.858012674165401</v>
          </cell>
          <cell r="O738">
            <v>1600</v>
          </cell>
          <cell r="P738">
            <v>1895</v>
          </cell>
          <cell r="Q738">
            <v>16.299999999999997</v>
          </cell>
          <cell r="R738">
            <v>0.91600000000000004</v>
          </cell>
          <cell r="S738">
            <v>7.8</v>
          </cell>
          <cell r="T738">
            <v>245</v>
          </cell>
          <cell r="U738">
            <v>38</v>
          </cell>
        </row>
        <row r="739">
          <cell r="A739" t="str">
            <v>KBM-60H02-A (400 V)</v>
          </cell>
          <cell r="B739">
            <v>255</v>
          </cell>
          <cell r="C739">
            <v>50.4</v>
          </cell>
          <cell r="D739">
            <v>108</v>
          </cell>
          <cell r="E739">
            <v>16.399999999999999</v>
          </cell>
          <cell r="L739">
            <v>88.643815200699777</v>
          </cell>
          <cell r="M739">
            <v>725</v>
          </cell>
          <cell r="P739">
            <v>974</v>
          </cell>
          <cell r="Q739">
            <v>31.7</v>
          </cell>
          <cell r="R739">
            <v>0.92100000000000004</v>
          </cell>
          <cell r="S739">
            <v>11</v>
          </cell>
          <cell r="T739">
            <v>411</v>
          </cell>
          <cell r="U739">
            <v>38</v>
          </cell>
        </row>
        <row r="740">
          <cell r="A740" t="str">
            <v>KBM-60H02-A (480 V)</v>
          </cell>
          <cell r="B740">
            <v>255</v>
          </cell>
          <cell r="C740">
            <v>50.4</v>
          </cell>
          <cell r="D740">
            <v>108</v>
          </cell>
          <cell r="E740">
            <v>16.399999999999999</v>
          </cell>
          <cell r="N740">
            <v>84.001439455620698</v>
          </cell>
          <cell r="O740">
            <v>885</v>
          </cell>
          <cell r="P740">
            <v>1169</v>
          </cell>
          <cell r="Q740">
            <v>31.7</v>
          </cell>
          <cell r="R740">
            <v>0.92100000000000004</v>
          </cell>
          <cell r="S740">
            <v>11</v>
          </cell>
          <cell r="T740">
            <v>411</v>
          </cell>
          <cell r="U740">
            <v>38</v>
          </cell>
        </row>
        <row r="741">
          <cell r="A741" t="str">
            <v>KBM-60H03-A (400 V)</v>
          </cell>
          <cell r="B741">
            <v>393</v>
          </cell>
          <cell r="C741">
            <v>63.3</v>
          </cell>
          <cell r="D741">
            <v>154</v>
          </cell>
          <cell r="E741">
            <v>18.7</v>
          </cell>
          <cell r="L741">
            <v>119.77083853017209</v>
          </cell>
          <cell r="M741">
            <v>590</v>
          </cell>
          <cell r="P741">
            <v>778</v>
          </cell>
          <cell r="Q741">
            <v>47.5</v>
          </cell>
          <cell r="R741">
            <v>0.86699999999999999</v>
          </cell>
          <cell r="S741">
            <v>11</v>
          </cell>
          <cell r="T741">
            <v>515</v>
          </cell>
          <cell r="U741">
            <v>38</v>
          </cell>
        </row>
        <row r="742">
          <cell r="A742" t="str">
            <v>KBM-60H03-A (480 V)</v>
          </cell>
          <cell r="B742">
            <v>393</v>
          </cell>
          <cell r="C742">
            <v>63.3</v>
          </cell>
          <cell r="D742">
            <v>154</v>
          </cell>
          <cell r="E742">
            <v>18.7</v>
          </cell>
          <cell r="N742">
            <v>110.74531456811052</v>
          </cell>
          <cell r="O742">
            <v>720</v>
          </cell>
          <cell r="P742">
            <v>930</v>
          </cell>
          <cell r="Q742">
            <v>47.5</v>
          </cell>
          <cell r="R742">
            <v>0.86699999999999999</v>
          </cell>
          <cell r="S742">
            <v>11</v>
          </cell>
          <cell r="T742">
            <v>515</v>
          </cell>
          <cell r="U742">
            <v>38</v>
          </cell>
        </row>
        <row r="743">
          <cell r="A743" t="str">
            <v>KBM-60S01-A (240 V)</v>
          </cell>
          <cell r="B743">
            <v>127</v>
          </cell>
          <cell r="C743">
            <v>40</v>
          </cell>
          <cell r="D743">
            <v>54</v>
          </cell>
          <cell r="E743">
            <v>13.7</v>
          </cell>
          <cell r="J743">
            <v>44.708070377632424</v>
          </cell>
          <cell r="K743">
            <v>660</v>
          </cell>
          <cell r="P743">
            <v>983</v>
          </cell>
          <cell r="Q743">
            <v>16.299999999999997</v>
          </cell>
          <cell r="R743">
            <v>0.91600000000000004</v>
          </cell>
          <cell r="S743">
            <v>7.8</v>
          </cell>
          <cell r="T743">
            <v>245</v>
          </cell>
          <cell r="U743">
            <v>38</v>
          </cell>
        </row>
        <row r="744">
          <cell r="A744" t="str">
            <v>KBM-60S02-A (240 V)</v>
          </cell>
          <cell r="B744">
            <v>255</v>
          </cell>
          <cell r="C744">
            <v>50.4</v>
          </cell>
          <cell r="D744">
            <v>108</v>
          </cell>
          <cell r="E744">
            <v>16.399999999999999</v>
          </cell>
          <cell r="J744">
            <v>95.989033210228826</v>
          </cell>
          <cell r="K744">
            <v>385</v>
          </cell>
          <cell r="P744">
            <v>584</v>
          </cell>
          <cell r="Q744">
            <v>31.7</v>
          </cell>
          <cell r="R744">
            <v>0.92100000000000004</v>
          </cell>
          <cell r="S744">
            <v>11</v>
          </cell>
          <cell r="T744">
            <v>411</v>
          </cell>
          <cell r="U744">
            <v>38</v>
          </cell>
        </row>
        <row r="745">
          <cell r="A745" t="str">
            <v>KBM-60S03-A (240 V)</v>
          </cell>
          <cell r="B745">
            <v>393</v>
          </cell>
          <cell r="C745">
            <v>63.3</v>
          </cell>
          <cell r="D745">
            <v>154</v>
          </cell>
          <cell r="E745">
            <v>18.7</v>
          </cell>
          <cell r="J745">
            <v>133.38699992463609</v>
          </cell>
          <cell r="K745">
            <v>315</v>
          </cell>
          <cell r="P745">
            <v>467</v>
          </cell>
          <cell r="Q745">
            <v>47.5</v>
          </cell>
          <cell r="R745">
            <v>0.86699999999999999</v>
          </cell>
          <cell r="S745">
            <v>11</v>
          </cell>
          <cell r="T745">
            <v>515</v>
          </cell>
          <cell r="U745">
            <v>38</v>
          </cell>
        </row>
        <row r="746">
          <cell r="A746" t="str">
            <v>KBM-88H01-A (400 V)</v>
          </cell>
          <cell r="B746">
            <v>414</v>
          </cell>
          <cell r="C746">
            <v>40</v>
          </cell>
          <cell r="D746">
            <v>205</v>
          </cell>
          <cell r="E746">
            <v>17</v>
          </cell>
          <cell r="L746">
            <v>162.33804195373327</v>
          </cell>
          <cell r="M746">
            <v>425</v>
          </cell>
          <cell r="P746">
            <v>542</v>
          </cell>
          <cell r="Q746">
            <v>98.4</v>
          </cell>
          <cell r="R746">
            <v>0.93</v>
          </cell>
          <cell r="S746">
            <v>13</v>
          </cell>
          <cell r="T746">
            <v>738</v>
          </cell>
          <cell r="U746">
            <v>46</v>
          </cell>
        </row>
        <row r="747">
          <cell r="A747" t="str">
            <v>KBM-88H01-A (480 V)</v>
          </cell>
          <cell r="B747">
            <v>414</v>
          </cell>
          <cell r="C747">
            <v>40</v>
          </cell>
          <cell r="D747">
            <v>205</v>
          </cell>
          <cell r="E747">
            <v>17</v>
          </cell>
          <cell r="N747">
            <v>151.31962281660205</v>
          </cell>
          <cell r="O747">
            <v>520</v>
          </cell>
          <cell r="P747">
            <v>651</v>
          </cell>
          <cell r="Q747">
            <v>98.4</v>
          </cell>
          <cell r="R747">
            <v>0.93</v>
          </cell>
          <cell r="S747">
            <v>13</v>
          </cell>
          <cell r="T747">
            <v>738</v>
          </cell>
          <cell r="U747">
            <v>46</v>
          </cell>
        </row>
        <row r="748">
          <cell r="A748" t="str">
            <v>KBM-88H01-B (400 V)</v>
          </cell>
          <cell r="B748">
            <v>414</v>
          </cell>
          <cell r="C748">
            <v>75.400000000000006</v>
          </cell>
          <cell r="D748">
            <v>205</v>
          </cell>
          <cell r="E748">
            <v>32</v>
          </cell>
          <cell r="L748">
            <v>66.998273370021394</v>
          </cell>
          <cell r="M748">
            <v>935</v>
          </cell>
          <cell r="P748">
            <v>1006</v>
          </cell>
          <cell r="Q748">
            <v>98.4</v>
          </cell>
          <cell r="R748">
            <v>0.26100000000000001</v>
          </cell>
          <cell r="S748">
            <v>3.7</v>
          </cell>
          <cell r="T748">
            <v>397</v>
          </cell>
          <cell r="U748">
            <v>46</v>
          </cell>
        </row>
        <row r="749">
          <cell r="A749" t="str">
            <v>KBM-88H01-B (480 V)</v>
          </cell>
          <cell r="B749">
            <v>414</v>
          </cell>
          <cell r="C749">
            <v>75.400000000000006</v>
          </cell>
          <cell r="D749">
            <v>205</v>
          </cell>
          <cell r="E749">
            <v>32</v>
          </cell>
          <cell r="N749">
            <v>67.048252621692072</v>
          </cell>
          <cell r="O749">
            <v>940</v>
          </cell>
          <cell r="P749">
            <v>1068</v>
          </cell>
          <cell r="Q749">
            <v>98.4</v>
          </cell>
          <cell r="R749">
            <v>0.26100000000000001</v>
          </cell>
          <cell r="S749">
            <v>3.7</v>
          </cell>
          <cell r="T749">
            <v>397</v>
          </cell>
          <cell r="U749">
            <v>46</v>
          </cell>
        </row>
        <row r="750">
          <cell r="A750" t="str">
            <v>KBM-88H02-A (400 V)</v>
          </cell>
          <cell r="B750">
            <v>789</v>
          </cell>
          <cell r="C750">
            <v>40</v>
          </cell>
          <cell r="D750">
            <v>385</v>
          </cell>
          <cell r="E750">
            <v>15</v>
          </cell>
          <cell r="L750">
            <v>331.71240770731868</v>
          </cell>
          <cell r="M750">
            <v>190</v>
          </cell>
          <cell r="P750">
            <v>257</v>
          </cell>
          <cell r="Q750">
            <v>198</v>
          </cell>
          <cell r="R750">
            <v>1.66</v>
          </cell>
          <cell r="S750">
            <v>29</v>
          </cell>
          <cell r="T750">
            <v>1560</v>
          </cell>
          <cell r="U750">
            <v>46</v>
          </cell>
        </row>
        <row r="751">
          <cell r="A751" t="str">
            <v>KBM-88H02-A (480 V)</v>
          </cell>
          <cell r="B751">
            <v>789</v>
          </cell>
          <cell r="C751">
            <v>40</v>
          </cell>
          <cell r="D751">
            <v>385</v>
          </cell>
          <cell r="E751">
            <v>15</v>
          </cell>
          <cell r="N751">
            <v>323.05067172269821</v>
          </cell>
          <cell r="O751">
            <v>235</v>
          </cell>
          <cell r="P751">
            <v>309</v>
          </cell>
          <cell r="Q751">
            <v>198</v>
          </cell>
          <cell r="R751">
            <v>1.66</v>
          </cell>
          <cell r="S751">
            <v>29</v>
          </cell>
          <cell r="T751">
            <v>1560</v>
          </cell>
          <cell r="U751">
            <v>46</v>
          </cell>
        </row>
        <row r="752">
          <cell r="A752" t="str">
            <v>KBM-88H02-B (400 V)</v>
          </cell>
          <cell r="B752">
            <v>789</v>
          </cell>
          <cell r="C752">
            <v>75.400000000000006</v>
          </cell>
          <cell r="D752">
            <v>385</v>
          </cell>
          <cell r="E752">
            <v>31.7</v>
          </cell>
          <cell r="L752">
            <v>273.02307055855135</v>
          </cell>
          <cell r="M752">
            <v>440</v>
          </cell>
          <cell r="P752">
            <v>545</v>
          </cell>
          <cell r="Q752">
            <v>198</v>
          </cell>
          <cell r="R752">
            <v>0.36899999999999999</v>
          </cell>
          <cell r="S752">
            <v>6.4</v>
          </cell>
          <cell r="T752">
            <v>733</v>
          </cell>
          <cell r="U752">
            <v>46</v>
          </cell>
        </row>
        <row r="753">
          <cell r="A753" t="str">
            <v>KBM-88H02-B (480 V)</v>
          </cell>
          <cell r="B753">
            <v>789</v>
          </cell>
          <cell r="C753">
            <v>75.400000000000006</v>
          </cell>
          <cell r="D753">
            <v>385</v>
          </cell>
          <cell r="E753">
            <v>31.7</v>
          </cell>
          <cell r="N753">
            <v>233.08964847367582</v>
          </cell>
          <cell r="O753">
            <v>550</v>
          </cell>
          <cell r="P753">
            <v>654</v>
          </cell>
          <cell r="Q753">
            <v>198</v>
          </cell>
          <cell r="R753">
            <v>0.36899999999999999</v>
          </cell>
          <cell r="S753">
            <v>6.4</v>
          </cell>
          <cell r="T753">
            <v>733</v>
          </cell>
          <cell r="U753">
            <v>46</v>
          </cell>
        </row>
        <row r="754">
          <cell r="A754" t="str">
            <v>KBM-88H03-A (400 V)</v>
          </cell>
          <cell r="B754">
            <v>1200</v>
          </cell>
          <cell r="C754">
            <v>53.1</v>
          </cell>
          <cell r="D754">
            <v>538</v>
          </cell>
          <cell r="E754">
            <v>18.100000000000001</v>
          </cell>
          <cell r="L754">
            <v>462.41745283790686</v>
          </cell>
          <cell r="M754">
            <v>165</v>
          </cell>
          <cell r="P754">
            <v>221</v>
          </cell>
          <cell r="Q754">
            <v>298</v>
          </cell>
          <cell r="R754">
            <v>1.41</v>
          </cell>
          <cell r="S754">
            <v>26</v>
          </cell>
          <cell r="T754">
            <v>1812</v>
          </cell>
          <cell r="U754">
            <v>46</v>
          </cell>
        </row>
        <row r="755">
          <cell r="A755" t="str">
            <v>KBM-88H03-A (480 V)</v>
          </cell>
          <cell r="B755">
            <v>1200</v>
          </cell>
          <cell r="C755">
            <v>53.1</v>
          </cell>
          <cell r="D755">
            <v>538</v>
          </cell>
          <cell r="E755">
            <v>18.100000000000001</v>
          </cell>
          <cell r="N755">
            <v>443.08736156783664</v>
          </cell>
          <cell r="O755">
            <v>225</v>
          </cell>
          <cell r="P755">
            <v>265</v>
          </cell>
          <cell r="Q755">
            <v>298</v>
          </cell>
          <cell r="R755">
            <v>1.41</v>
          </cell>
          <cell r="S755">
            <v>26</v>
          </cell>
          <cell r="T755">
            <v>1812</v>
          </cell>
          <cell r="U755">
            <v>46</v>
          </cell>
        </row>
        <row r="756">
          <cell r="A756" t="str">
            <v>KBM-88H03-B (400 V)</v>
          </cell>
          <cell r="B756">
            <v>1200</v>
          </cell>
          <cell r="C756">
            <v>106</v>
          </cell>
          <cell r="D756">
            <v>545</v>
          </cell>
          <cell r="E756">
            <v>35.5</v>
          </cell>
          <cell r="L756">
            <v>400.51687418082179</v>
          </cell>
          <cell r="M756">
            <v>345</v>
          </cell>
          <cell r="P756">
            <v>426</v>
          </cell>
          <cell r="Q756">
            <v>298</v>
          </cell>
          <cell r="R756">
            <v>0.37</v>
          </cell>
          <cell r="S756">
            <v>7</v>
          </cell>
          <cell r="T756">
            <v>940</v>
          </cell>
          <cell r="U756">
            <v>46</v>
          </cell>
        </row>
        <row r="757">
          <cell r="A757" t="str">
            <v>KBM-88H03-B (480 V)</v>
          </cell>
          <cell r="B757">
            <v>1200</v>
          </cell>
          <cell r="C757">
            <v>106</v>
          </cell>
          <cell r="D757">
            <v>545</v>
          </cell>
          <cell r="E757">
            <v>35.5</v>
          </cell>
          <cell r="N757">
            <v>359.5029302781636</v>
          </cell>
          <cell r="O757">
            <v>425</v>
          </cell>
          <cell r="P757">
            <v>511</v>
          </cell>
          <cell r="Q757">
            <v>298</v>
          </cell>
          <cell r="R757">
            <v>0.37</v>
          </cell>
          <cell r="S757">
            <v>7</v>
          </cell>
          <cell r="T757">
            <v>940</v>
          </cell>
          <cell r="U757">
            <v>46</v>
          </cell>
        </row>
        <row r="758">
          <cell r="A758" t="str">
            <v>KBM-88S01-A (240 V)</v>
          </cell>
          <cell r="B758">
            <v>414</v>
          </cell>
          <cell r="C758">
            <v>40</v>
          </cell>
          <cell r="D758">
            <v>205</v>
          </cell>
          <cell r="E758">
            <v>17</v>
          </cell>
          <cell r="J758">
            <v>179.31456921686876</v>
          </cell>
          <cell r="K758">
            <v>225</v>
          </cell>
          <cell r="P758">
            <v>325</v>
          </cell>
          <cell r="Q758">
            <v>98.4</v>
          </cell>
          <cell r="R758">
            <v>0.93</v>
          </cell>
          <cell r="S758">
            <v>13</v>
          </cell>
          <cell r="T758">
            <v>738</v>
          </cell>
          <cell r="U758">
            <v>46</v>
          </cell>
        </row>
        <row r="759">
          <cell r="A759" t="str">
            <v>KBM-88S01-B (240 V)</v>
          </cell>
          <cell r="B759">
            <v>414</v>
          </cell>
          <cell r="C759">
            <v>75.400000000000006</v>
          </cell>
          <cell r="D759">
            <v>205</v>
          </cell>
          <cell r="E759">
            <v>32</v>
          </cell>
          <cell r="J759">
            <v>156.03550620729419</v>
          </cell>
          <cell r="K759">
            <v>500</v>
          </cell>
          <cell r="P759">
            <v>604</v>
          </cell>
          <cell r="Q759">
            <v>98.4</v>
          </cell>
          <cell r="R759">
            <v>0.26100000000000001</v>
          </cell>
          <cell r="S759">
            <v>3.7</v>
          </cell>
          <cell r="T759">
            <v>397</v>
          </cell>
          <cell r="U759">
            <v>46</v>
          </cell>
        </row>
        <row r="760">
          <cell r="A760" t="str">
            <v>KBM-88S02-A (240 V)</v>
          </cell>
          <cell r="B760">
            <v>789</v>
          </cell>
          <cell r="C760">
            <v>40</v>
          </cell>
          <cell r="D760">
            <v>385</v>
          </cell>
          <cell r="E760">
            <v>15</v>
          </cell>
          <cell r="J760">
            <v>346.63946605414804</v>
          </cell>
          <cell r="K760">
            <v>100</v>
          </cell>
          <cell r="P760">
            <v>154</v>
          </cell>
          <cell r="Q760">
            <v>198</v>
          </cell>
          <cell r="R760">
            <v>1.66</v>
          </cell>
          <cell r="S760">
            <v>29</v>
          </cell>
          <cell r="T760">
            <v>1560</v>
          </cell>
          <cell r="U760">
            <v>46</v>
          </cell>
        </row>
        <row r="761">
          <cell r="A761" t="str">
            <v>KBM-88S02-B (240 V)</v>
          </cell>
          <cell r="B761">
            <v>789</v>
          </cell>
          <cell r="C761">
            <v>75.400000000000006</v>
          </cell>
          <cell r="D761">
            <v>385</v>
          </cell>
          <cell r="E761">
            <v>31.7</v>
          </cell>
          <cell r="J761">
            <v>323.45702476889028</v>
          </cell>
          <cell r="K761">
            <v>235</v>
          </cell>
          <cell r="P761">
            <v>327</v>
          </cell>
          <cell r="Q761">
            <v>198</v>
          </cell>
          <cell r="R761">
            <v>0.36899999999999999</v>
          </cell>
          <cell r="S761">
            <v>6.4</v>
          </cell>
          <cell r="T761">
            <v>733</v>
          </cell>
          <cell r="U761">
            <v>46</v>
          </cell>
        </row>
        <row r="762">
          <cell r="A762" t="str">
            <v>KBM-88S03-A (240 V)</v>
          </cell>
          <cell r="B762">
            <v>1200</v>
          </cell>
          <cell r="C762">
            <v>53.1</v>
          </cell>
          <cell r="D762">
            <v>538</v>
          </cell>
          <cell r="E762">
            <v>18.100000000000001</v>
          </cell>
          <cell r="J762">
            <v>482.76999404541584</v>
          </cell>
          <cell r="K762">
            <v>90</v>
          </cell>
          <cell r="P762">
            <v>132</v>
          </cell>
          <cell r="Q762">
            <v>298</v>
          </cell>
          <cell r="R762">
            <v>1.41</v>
          </cell>
          <cell r="S762">
            <v>26</v>
          </cell>
          <cell r="T762">
            <v>1812</v>
          </cell>
          <cell r="U762">
            <v>46</v>
          </cell>
        </row>
        <row r="763">
          <cell r="A763" t="str">
            <v>KBM-88S03-B (240 V)</v>
          </cell>
          <cell r="B763">
            <v>1200</v>
          </cell>
          <cell r="C763">
            <v>106</v>
          </cell>
          <cell r="D763">
            <v>545</v>
          </cell>
          <cell r="E763">
            <v>35.5</v>
          </cell>
          <cell r="J763">
            <v>463.67140087438844</v>
          </cell>
          <cell r="K763">
            <v>180</v>
          </cell>
          <cell r="P763">
            <v>255</v>
          </cell>
          <cell r="Q763">
            <v>298</v>
          </cell>
          <cell r="R763">
            <v>0.37</v>
          </cell>
          <cell r="S763">
            <v>7</v>
          </cell>
          <cell r="T763">
            <v>940</v>
          </cell>
          <cell r="U763">
            <v>46</v>
          </cell>
        </row>
        <row r="764">
          <cell r="A764" t="str">
            <v>KBM-163H01-A (400 V)</v>
          </cell>
          <cell r="B764">
            <v>1966</v>
          </cell>
          <cell r="C764">
            <v>140</v>
          </cell>
          <cell r="D764">
            <v>776</v>
          </cell>
          <cell r="E764">
            <v>43.2</v>
          </cell>
          <cell r="L764">
            <v>534.60145384567647</v>
          </cell>
          <cell r="M764">
            <v>300</v>
          </cell>
          <cell r="P764">
            <v>365</v>
          </cell>
          <cell r="Q764">
            <v>1060</v>
          </cell>
          <cell r="R764">
            <v>0.37</v>
          </cell>
          <cell r="S764">
            <v>4.2</v>
          </cell>
          <cell r="T764">
            <v>1100</v>
          </cell>
          <cell r="U764">
            <v>56</v>
          </cell>
        </row>
        <row r="765">
          <cell r="A765" t="str">
            <v>KBM-163H01-A (480 V)</v>
          </cell>
          <cell r="B765">
            <v>1966</v>
          </cell>
          <cell r="C765">
            <v>140</v>
          </cell>
          <cell r="D765">
            <v>776</v>
          </cell>
          <cell r="E765">
            <v>43.2</v>
          </cell>
          <cell r="N765">
            <v>440.54088247836631</v>
          </cell>
          <cell r="O765">
            <v>375</v>
          </cell>
          <cell r="P765">
            <v>438</v>
          </cell>
          <cell r="Q765">
            <v>1060</v>
          </cell>
          <cell r="R765">
            <v>0.37</v>
          </cell>
          <cell r="S765">
            <v>4.2</v>
          </cell>
          <cell r="T765">
            <v>1100</v>
          </cell>
          <cell r="U765">
            <v>56</v>
          </cell>
        </row>
        <row r="766">
          <cell r="A766" t="str">
            <v>KBM-163H02-A (400 V)</v>
          </cell>
          <cell r="B766">
            <v>2915</v>
          </cell>
          <cell r="C766">
            <v>140</v>
          </cell>
          <cell r="D766">
            <v>1090</v>
          </cell>
          <cell r="E766">
            <v>40.6</v>
          </cell>
          <cell r="L766">
            <v>843.68035333013711</v>
          </cell>
          <cell r="M766">
            <v>200</v>
          </cell>
          <cell r="P766">
            <v>243</v>
          </cell>
          <cell r="Q766">
            <v>1570</v>
          </cell>
          <cell r="R766">
            <v>0.50900000000000001</v>
          </cell>
          <cell r="S766">
            <v>6.3</v>
          </cell>
          <cell r="T766">
            <v>1645</v>
          </cell>
          <cell r="U766">
            <v>56</v>
          </cell>
        </row>
        <row r="767">
          <cell r="A767" t="str">
            <v>KBM-163H02-A (480 V)</v>
          </cell>
          <cell r="B767">
            <v>2915</v>
          </cell>
          <cell r="C767">
            <v>140</v>
          </cell>
          <cell r="D767">
            <v>1090</v>
          </cell>
          <cell r="E767">
            <v>40.6</v>
          </cell>
          <cell r="N767">
            <v>781.87301838940914</v>
          </cell>
          <cell r="O767">
            <v>245</v>
          </cell>
          <cell r="P767">
            <v>291</v>
          </cell>
          <cell r="Q767">
            <v>1570</v>
          </cell>
          <cell r="R767">
            <v>0.50900000000000001</v>
          </cell>
          <cell r="S767">
            <v>6.3</v>
          </cell>
          <cell r="T767">
            <v>1645</v>
          </cell>
          <cell r="U767">
            <v>56</v>
          </cell>
        </row>
        <row r="768">
          <cell r="A768" t="str">
            <v>KBM-163H03-A (400 V)</v>
          </cell>
          <cell r="B768">
            <v>3930</v>
          </cell>
          <cell r="C768">
            <v>140</v>
          </cell>
          <cell r="D768">
            <v>1375</v>
          </cell>
          <cell r="E768">
            <v>38.6</v>
          </cell>
          <cell r="L768">
            <v>1115.3578411880026</v>
          </cell>
          <cell r="M768">
            <v>150</v>
          </cell>
          <cell r="P768">
            <v>183</v>
          </cell>
          <cell r="Q768">
            <v>1680</v>
          </cell>
          <cell r="R768">
            <v>0.64</v>
          </cell>
          <cell r="S768">
            <v>8.4</v>
          </cell>
          <cell r="T768">
            <v>2190</v>
          </cell>
          <cell r="U768">
            <v>56</v>
          </cell>
        </row>
        <row r="769">
          <cell r="A769" t="str">
            <v>KBM-163H03-A (480 V)</v>
          </cell>
          <cell r="B769">
            <v>3930</v>
          </cell>
          <cell r="C769">
            <v>140</v>
          </cell>
          <cell r="D769">
            <v>1375</v>
          </cell>
          <cell r="E769">
            <v>38.6</v>
          </cell>
          <cell r="N769">
            <v>1063.9507945693204</v>
          </cell>
          <cell r="O769">
            <v>180</v>
          </cell>
          <cell r="P769">
            <v>220</v>
          </cell>
          <cell r="Q769">
            <v>1680</v>
          </cell>
          <cell r="R769">
            <v>0.64</v>
          </cell>
          <cell r="S769">
            <v>8.4</v>
          </cell>
          <cell r="T769">
            <v>2190</v>
          </cell>
          <cell r="U769">
            <v>56</v>
          </cell>
        </row>
        <row r="770">
          <cell r="A770" t="str">
            <v>KBM-163S01-A (240 V)</v>
          </cell>
          <cell r="B770">
            <v>1966</v>
          </cell>
          <cell r="C770">
            <v>140</v>
          </cell>
          <cell r="D770">
            <v>776</v>
          </cell>
          <cell r="E770">
            <v>43.2</v>
          </cell>
          <cell r="J770">
            <v>580.77085597351629</v>
          </cell>
          <cell r="K770">
            <v>165</v>
          </cell>
          <cell r="P770">
            <v>219</v>
          </cell>
          <cell r="Q770">
            <v>1060</v>
          </cell>
          <cell r="R770">
            <v>0.37</v>
          </cell>
          <cell r="S770">
            <v>4.2</v>
          </cell>
          <cell r="T770">
            <v>1100</v>
          </cell>
          <cell r="U770">
            <v>56</v>
          </cell>
        </row>
        <row r="771">
          <cell r="A771" t="str">
            <v>KBM-163S02-A (240 V)</v>
          </cell>
          <cell r="B771">
            <v>2915</v>
          </cell>
          <cell r="C771">
            <v>140</v>
          </cell>
          <cell r="D771">
            <v>1090</v>
          </cell>
          <cell r="E771">
            <v>40.6</v>
          </cell>
          <cell r="J771">
            <v>945.38036196585824</v>
          </cell>
          <cell r="K771">
            <v>110</v>
          </cell>
          <cell r="P771">
            <v>146</v>
          </cell>
          <cell r="Q771">
            <v>1570</v>
          </cell>
          <cell r="R771">
            <v>0.50900000000000001</v>
          </cell>
          <cell r="S771">
            <v>6.3</v>
          </cell>
          <cell r="T771">
            <v>1645</v>
          </cell>
          <cell r="U771">
            <v>56</v>
          </cell>
        </row>
        <row r="772">
          <cell r="A772" t="str">
            <v>KBM-163S03-A (240 V)</v>
          </cell>
          <cell r="B772">
            <v>3930</v>
          </cell>
          <cell r="C772">
            <v>140</v>
          </cell>
          <cell r="D772">
            <v>1375</v>
          </cell>
          <cell r="E772">
            <v>38.6</v>
          </cell>
          <cell r="J772">
            <v>1209.1796801406749</v>
          </cell>
          <cell r="K772">
            <v>80</v>
          </cell>
          <cell r="P772">
            <v>110</v>
          </cell>
          <cell r="Q772">
            <v>1680</v>
          </cell>
          <cell r="R772">
            <v>0.64</v>
          </cell>
          <cell r="S772">
            <v>8.4</v>
          </cell>
          <cell r="T772">
            <v>2190</v>
          </cell>
          <cell r="U772">
            <v>56</v>
          </cell>
        </row>
        <row r="773">
          <cell r="A773" t="str">
            <v>KBM-260H01-A (400 V)</v>
          </cell>
          <cell r="B773">
            <v>6494</v>
          </cell>
          <cell r="C773">
            <v>147</v>
          </cell>
          <cell r="D773">
            <v>1932</v>
          </cell>
          <cell r="E773">
            <v>33.1</v>
          </cell>
          <cell r="L773">
            <v>1710.4475354640751</v>
          </cell>
          <cell r="M773">
            <v>85</v>
          </cell>
          <cell r="P773">
            <v>111</v>
          </cell>
          <cell r="Q773">
            <v>4880</v>
          </cell>
          <cell r="R773">
            <v>1.06</v>
          </cell>
          <cell r="S773">
            <v>16</v>
          </cell>
          <cell r="T773">
            <v>3584</v>
          </cell>
          <cell r="U773">
            <v>58</v>
          </cell>
        </row>
        <row r="774">
          <cell r="A774" t="str">
            <v>KBM-260H01-A (480 V)</v>
          </cell>
          <cell r="B774">
            <v>6494</v>
          </cell>
          <cell r="C774">
            <v>147</v>
          </cell>
          <cell r="D774">
            <v>1932</v>
          </cell>
          <cell r="E774">
            <v>33.1</v>
          </cell>
          <cell r="N774">
            <v>1680.6761990504149</v>
          </cell>
          <cell r="O774">
            <v>105</v>
          </cell>
          <cell r="P774">
            <v>134</v>
          </cell>
          <cell r="Q774">
            <v>4880</v>
          </cell>
          <cell r="R774">
            <v>1.06</v>
          </cell>
          <cell r="S774">
            <v>16</v>
          </cell>
          <cell r="T774">
            <v>3584</v>
          </cell>
          <cell r="U774">
            <v>58</v>
          </cell>
        </row>
        <row r="775">
          <cell r="A775" t="str">
            <v>KBM-260H02-A (400 V)</v>
          </cell>
          <cell r="B775">
            <v>9741</v>
          </cell>
          <cell r="C775">
            <v>147</v>
          </cell>
          <cell r="D775">
            <v>2706</v>
          </cell>
          <cell r="E775">
            <v>31</v>
          </cell>
          <cell r="L775">
            <v>2428.9938042061262</v>
          </cell>
          <cell r="M775">
            <v>55</v>
          </cell>
          <cell r="P775">
            <v>74</v>
          </cell>
          <cell r="Q775">
            <v>7190</v>
          </cell>
          <cell r="R775">
            <v>1.48</v>
          </cell>
          <cell r="S775">
            <v>24</v>
          </cell>
          <cell r="T775">
            <v>5380</v>
          </cell>
          <cell r="U775">
            <v>58</v>
          </cell>
        </row>
        <row r="776">
          <cell r="A776" t="str">
            <v>KBM-260H02-A (480 V)</v>
          </cell>
          <cell r="B776">
            <v>9741</v>
          </cell>
          <cell r="C776">
            <v>147</v>
          </cell>
          <cell r="D776">
            <v>2706</v>
          </cell>
          <cell r="E776">
            <v>31</v>
          </cell>
          <cell r="N776">
            <v>2406.2823087173174</v>
          </cell>
          <cell r="O776">
            <v>68</v>
          </cell>
          <cell r="P776">
            <v>89</v>
          </cell>
          <cell r="Q776">
            <v>7190</v>
          </cell>
          <cell r="R776">
            <v>1.48</v>
          </cell>
          <cell r="S776">
            <v>24</v>
          </cell>
          <cell r="T776">
            <v>5380</v>
          </cell>
          <cell r="U776">
            <v>58</v>
          </cell>
        </row>
        <row r="777">
          <cell r="A777" t="str">
            <v>KBM-260H03-A (400 V)</v>
          </cell>
          <cell r="B777">
            <v>12812</v>
          </cell>
          <cell r="C777">
            <v>147</v>
          </cell>
          <cell r="D777">
            <v>3444</v>
          </cell>
          <cell r="E777">
            <v>29.5</v>
          </cell>
          <cell r="L777">
            <v>3366.1270463935866</v>
          </cell>
          <cell r="M777">
            <v>40</v>
          </cell>
          <cell r="P777">
            <v>55</v>
          </cell>
          <cell r="Q777">
            <v>9560</v>
          </cell>
          <cell r="R777">
            <v>1.9</v>
          </cell>
          <cell r="S777">
            <v>32</v>
          </cell>
          <cell r="T777">
            <v>7180</v>
          </cell>
          <cell r="U777">
            <v>58</v>
          </cell>
        </row>
        <row r="778">
          <cell r="A778" t="str">
            <v>KBM-260H03-A (480 V)</v>
          </cell>
          <cell r="B778">
            <v>12812</v>
          </cell>
          <cell r="C778">
            <v>147</v>
          </cell>
          <cell r="D778">
            <v>3444</v>
          </cell>
          <cell r="E778">
            <v>29.5</v>
          </cell>
          <cell r="N778">
            <v>3288.7777440509253</v>
          </cell>
          <cell r="O778">
            <v>50</v>
          </cell>
          <cell r="P778">
            <v>67</v>
          </cell>
          <cell r="Q778">
            <v>9560</v>
          </cell>
          <cell r="R778">
            <v>1.9</v>
          </cell>
          <cell r="S778">
            <v>32</v>
          </cell>
          <cell r="T778">
            <v>7180</v>
          </cell>
          <cell r="U778">
            <v>58</v>
          </cell>
        </row>
        <row r="779">
          <cell r="A779" t="str">
            <v>KBM-260S01-A (240 V)</v>
          </cell>
          <cell r="B779">
            <v>6494</v>
          </cell>
          <cell r="C779">
            <v>147</v>
          </cell>
          <cell r="D779">
            <v>1932</v>
          </cell>
          <cell r="E779">
            <v>33.1</v>
          </cell>
          <cell r="J779">
            <v>1761.3147035503084</v>
          </cell>
          <cell r="K779">
            <v>45</v>
          </cell>
          <cell r="P779">
            <v>67</v>
          </cell>
          <cell r="Q779">
            <v>4880</v>
          </cell>
          <cell r="R779">
            <v>1.06</v>
          </cell>
          <cell r="S779">
            <v>16</v>
          </cell>
          <cell r="T779">
            <v>3584</v>
          </cell>
          <cell r="U779">
            <v>58</v>
          </cell>
        </row>
        <row r="780">
          <cell r="A780" t="str">
            <v>KBM-260S02-A (240 V)</v>
          </cell>
          <cell r="B780">
            <v>9741</v>
          </cell>
          <cell r="C780">
            <v>147</v>
          </cell>
          <cell r="D780">
            <v>2706</v>
          </cell>
          <cell r="E780">
            <v>31</v>
          </cell>
          <cell r="J780">
            <v>2482.8171122335671</v>
          </cell>
          <cell r="K780">
            <v>28</v>
          </cell>
          <cell r="P780">
            <v>44</v>
          </cell>
          <cell r="Q780">
            <v>7190</v>
          </cell>
          <cell r="R780">
            <v>1.48</v>
          </cell>
          <cell r="S780">
            <v>24</v>
          </cell>
          <cell r="T780">
            <v>5380</v>
          </cell>
          <cell r="U780">
            <v>58</v>
          </cell>
        </row>
        <row r="781">
          <cell r="A781" t="str">
            <v>KBM-260S03-A (240 V)</v>
          </cell>
          <cell r="B781">
            <v>12812</v>
          </cell>
          <cell r="C781">
            <v>147</v>
          </cell>
          <cell r="D781">
            <v>3444</v>
          </cell>
          <cell r="E781">
            <v>29.5</v>
          </cell>
          <cell r="J781">
            <v>3317.1240770731874</v>
          </cell>
          <cell r="K781">
            <v>19</v>
          </cell>
          <cell r="P781">
            <v>33</v>
          </cell>
          <cell r="Q781">
            <v>9560</v>
          </cell>
          <cell r="R781">
            <v>1.9</v>
          </cell>
          <cell r="S781">
            <v>32</v>
          </cell>
          <cell r="T781">
            <v>7180</v>
          </cell>
          <cell r="U781">
            <v>58</v>
          </cell>
        </row>
        <row r="782">
          <cell r="A782" t="str">
            <v>KBMS-10H01-A (120 V)</v>
          </cell>
          <cell r="B782">
            <v>1.17</v>
          </cell>
          <cell r="C782">
            <v>4.33</v>
          </cell>
          <cell r="D782">
            <v>0.48699999999999999</v>
          </cell>
          <cell r="E782">
            <v>1.73</v>
          </cell>
          <cell r="H782">
            <v>0.44870188775305436</v>
          </cell>
          <cell r="I782">
            <v>4150</v>
          </cell>
          <cell r="P782">
            <v>6565</v>
          </cell>
          <cell r="Q782">
            <v>1.0200000000000001E-2</v>
          </cell>
          <cell r="R782">
            <v>13</v>
          </cell>
          <cell r="S782">
            <v>19</v>
          </cell>
          <cell r="T782">
            <v>17.382100000000001</v>
          </cell>
          <cell r="U782">
            <v>6</v>
          </cell>
        </row>
        <row r="783">
          <cell r="A783" t="str">
            <v>KBMS-10H01-A (240 V)</v>
          </cell>
          <cell r="B783">
            <v>1.17</v>
          </cell>
          <cell r="C783">
            <v>4.33</v>
          </cell>
          <cell r="D783">
            <v>0.48699999999999999</v>
          </cell>
          <cell r="E783">
            <v>1.73</v>
          </cell>
          <cell r="J783">
            <v>0.414767427451606</v>
          </cell>
          <cell r="K783">
            <v>9900</v>
          </cell>
          <cell r="P783">
            <v>13766</v>
          </cell>
          <cell r="Q783">
            <v>1.0200000000000001E-2</v>
          </cell>
          <cell r="R783">
            <v>13</v>
          </cell>
          <cell r="S783">
            <v>19</v>
          </cell>
          <cell r="T783">
            <v>17.382100000000001</v>
          </cell>
          <cell r="U783">
            <v>6</v>
          </cell>
        </row>
        <row r="784">
          <cell r="A784" t="str">
            <v>KBMS-10H01-A (400 V)</v>
          </cell>
          <cell r="B784">
            <v>1.17</v>
          </cell>
          <cell r="C784">
            <v>4.33</v>
          </cell>
          <cell r="D784">
            <v>0.48699999999999999</v>
          </cell>
          <cell r="E784">
            <v>1.73</v>
          </cell>
          <cell r="L784">
            <v>0.36804580590000802</v>
          </cell>
          <cell r="M784">
            <v>14400</v>
          </cell>
          <cell r="P784">
            <v>16000</v>
          </cell>
          <cell r="Q784">
            <v>1.0200000000000001E-2</v>
          </cell>
          <cell r="R784">
            <v>13</v>
          </cell>
          <cell r="S784">
            <v>19</v>
          </cell>
          <cell r="T784">
            <v>17.382100000000001</v>
          </cell>
          <cell r="U784">
            <v>6</v>
          </cell>
        </row>
        <row r="785">
          <cell r="A785" t="str">
            <v>KBMS-10H01-B (120 V)</v>
          </cell>
          <cell r="B785">
            <v>1.19</v>
          </cell>
          <cell r="C785">
            <v>8.6999999999999993</v>
          </cell>
          <cell r="D785">
            <v>0.50900000000000001</v>
          </cell>
          <cell r="E785">
            <v>3.37</v>
          </cell>
          <cell r="H785">
            <v>0.4297183463481174</v>
          </cell>
          <cell r="I785">
            <v>9000</v>
          </cell>
          <cell r="P785">
            <v>12319</v>
          </cell>
          <cell r="Q785">
            <v>1.0200000000000001E-2</v>
          </cell>
          <cell r="R785">
            <v>3.42</v>
          </cell>
          <cell r="S785">
            <v>5.2</v>
          </cell>
          <cell r="T785">
            <v>9.3041110000000007</v>
          </cell>
          <cell r="U785">
            <v>6</v>
          </cell>
        </row>
        <row r="786">
          <cell r="A786" t="str">
            <v>KBMS-10H01-B (240 V)</v>
          </cell>
          <cell r="B786">
            <v>1.19</v>
          </cell>
          <cell r="C786">
            <v>8.6999999999999993</v>
          </cell>
          <cell r="D786">
            <v>0.50900000000000001</v>
          </cell>
          <cell r="E786">
            <v>3.37</v>
          </cell>
          <cell r="J786">
            <v>0.30970691628693148</v>
          </cell>
          <cell r="K786">
            <v>18500</v>
          </cell>
          <cell r="P786">
            <v>20000</v>
          </cell>
          <cell r="Q786">
            <v>1.0200000000000001E-2</v>
          </cell>
          <cell r="R786">
            <v>3.42</v>
          </cell>
          <cell r="S786">
            <v>5.2</v>
          </cell>
          <cell r="T786">
            <v>9.3041110000000007</v>
          </cell>
          <cell r="U786">
            <v>6</v>
          </cell>
        </row>
        <row r="787">
          <cell r="A787" t="str">
            <v>KBMS-10H01-C (120 V)</v>
          </cell>
          <cell r="B787">
            <v>1.23</v>
          </cell>
          <cell r="C787">
            <v>13.8</v>
          </cell>
          <cell r="D787">
            <v>0.49199999999999999</v>
          </cell>
          <cell r="E787">
            <v>5.21</v>
          </cell>
          <cell r="H787">
            <v>0.34500684437985052</v>
          </cell>
          <cell r="I787">
            <v>15500</v>
          </cell>
          <cell r="P787">
            <v>19702</v>
          </cell>
          <cell r="Q787">
            <v>1.0200000000000001E-2</v>
          </cell>
          <cell r="R787">
            <v>1.44</v>
          </cell>
          <cell r="S787">
            <v>2.2000000000000002</v>
          </cell>
          <cell r="T787">
            <v>5.8349039999999999</v>
          </cell>
          <cell r="U787">
            <v>6</v>
          </cell>
        </row>
        <row r="788">
          <cell r="A788" t="str">
            <v>KBMS-10H01-C (240 V)</v>
          </cell>
          <cell r="B788">
            <v>1.23</v>
          </cell>
          <cell r="C788">
            <v>13.8</v>
          </cell>
          <cell r="D788">
            <v>0.49199999999999999</v>
          </cell>
          <cell r="E788">
            <v>5.21</v>
          </cell>
          <cell r="J788">
            <v>0.29520674928335428</v>
          </cell>
          <cell r="K788">
            <v>18600</v>
          </cell>
          <cell r="P788">
            <v>20000</v>
          </cell>
          <cell r="Q788">
            <v>1.0200000000000001E-2</v>
          </cell>
          <cell r="R788">
            <v>1.44</v>
          </cell>
          <cell r="S788">
            <v>2.2000000000000002</v>
          </cell>
          <cell r="T788">
            <v>5.8349039999999999</v>
          </cell>
          <cell r="U788">
            <v>6</v>
          </cell>
        </row>
        <row r="789">
          <cell r="A789" t="str">
            <v>KBMS-10H02-A (120 V)</v>
          </cell>
          <cell r="B789">
            <v>2.33</v>
          </cell>
          <cell r="C789">
            <v>4.33</v>
          </cell>
          <cell r="D789">
            <v>0.876</v>
          </cell>
          <cell r="E789">
            <v>1.53</v>
          </cell>
          <cell r="H789">
            <v>0.85343954991306192</v>
          </cell>
          <cell r="I789">
            <v>2070</v>
          </cell>
          <cell r="P789">
            <v>3359</v>
          </cell>
          <cell r="Q789">
            <v>1.49E-2</v>
          </cell>
          <cell r="R789">
            <v>20</v>
          </cell>
          <cell r="S789">
            <v>36</v>
          </cell>
          <cell r="T789">
            <v>35.4</v>
          </cell>
          <cell r="U789">
            <v>6</v>
          </cell>
        </row>
        <row r="790">
          <cell r="A790" t="str">
            <v>KBMS-10H02-A (240 V)</v>
          </cell>
          <cell r="B790">
            <v>2.33</v>
          </cell>
          <cell r="C790">
            <v>4.33</v>
          </cell>
          <cell r="D790">
            <v>0.876</v>
          </cell>
          <cell r="E790">
            <v>1.53</v>
          </cell>
          <cell r="J790">
            <v>0.79409940026903569</v>
          </cell>
          <cell r="K790">
            <v>4750</v>
          </cell>
          <cell r="P790">
            <v>6753</v>
          </cell>
          <cell r="Q790">
            <v>1.49E-2</v>
          </cell>
          <cell r="R790">
            <v>20</v>
          </cell>
          <cell r="S790">
            <v>36</v>
          </cell>
          <cell r="T790">
            <v>35.4</v>
          </cell>
          <cell r="U790">
            <v>6</v>
          </cell>
        </row>
        <row r="791">
          <cell r="A791" t="str">
            <v>KBMS-10H02-A (400 V)</v>
          </cell>
          <cell r="B791">
            <v>2.33</v>
          </cell>
          <cell r="C791">
            <v>4.33</v>
          </cell>
          <cell r="D791">
            <v>0.876</v>
          </cell>
          <cell r="E791">
            <v>1.53</v>
          </cell>
          <cell r="L791">
            <v>0.70832694452986378</v>
          </cell>
          <cell r="M791">
            <v>9100</v>
          </cell>
          <cell r="P791">
            <v>11291</v>
          </cell>
          <cell r="Q791">
            <v>1.49E-2</v>
          </cell>
          <cell r="R791">
            <v>20</v>
          </cell>
          <cell r="S791">
            <v>36</v>
          </cell>
          <cell r="T791">
            <v>35.4</v>
          </cell>
          <cell r="U791">
            <v>6</v>
          </cell>
        </row>
        <row r="792">
          <cell r="A792" t="str">
            <v>KBMS-10H02-A (480 V)</v>
          </cell>
          <cell r="B792">
            <v>2.33</v>
          </cell>
          <cell r="C792">
            <v>4.33</v>
          </cell>
          <cell r="D792">
            <v>0.876</v>
          </cell>
          <cell r="E792">
            <v>1.53</v>
          </cell>
          <cell r="N792">
            <v>0.64240722484365043</v>
          </cell>
          <cell r="O792">
            <v>11000</v>
          </cell>
          <cell r="P792">
            <v>13564</v>
          </cell>
          <cell r="Q792">
            <v>1.49E-2</v>
          </cell>
          <cell r="R792">
            <v>20</v>
          </cell>
          <cell r="S792">
            <v>36</v>
          </cell>
          <cell r="T792">
            <v>35.4</v>
          </cell>
          <cell r="U792">
            <v>6</v>
          </cell>
        </row>
        <row r="793">
          <cell r="A793" t="str">
            <v>KBMS-10H02-B (120 V)</v>
          </cell>
          <cell r="B793">
            <v>2.48</v>
          </cell>
          <cell r="C793">
            <v>8.65</v>
          </cell>
          <cell r="D793">
            <v>0.89900000000000002</v>
          </cell>
          <cell r="E793">
            <v>2.99</v>
          </cell>
          <cell r="H793">
            <v>0.82321522288911386</v>
          </cell>
          <cell r="I793">
            <v>4350</v>
          </cell>
          <cell r="P793">
            <v>6174</v>
          </cell>
          <cell r="Q793">
            <v>1.49E-2</v>
          </cell>
          <cell r="R793">
            <v>5.22</v>
          </cell>
          <cell r="S793">
            <v>9.6999999999999993</v>
          </cell>
          <cell r="T793">
            <v>18.536100000000001</v>
          </cell>
          <cell r="U793">
            <v>6</v>
          </cell>
        </row>
        <row r="794">
          <cell r="A794" t="str">
            <v>KBMS-10H02-B (240 V)</v>
          </cell>
          <cell r="B794">
            <v>2.48</v>
          </cell>
          <cell r="C794">
            <v>8.65</v>
          </cell>
          <cell r="D794">
            <v>0.89900000000000002</v>
          </cell>
          <cell r="E794">
            <v>2.99</v>
          </cell>
          <cell r="J794">
            <v>0.70664794732801528</v>
          </cell>
          <cell r="K794">
            <v>10000</v>
          </cell>
          <cell r="P794">
            <v>12944</v>
          </cell>
          <cell r="Q794">
            <v>1.49E-2</v>
          </cell>
          <cell r="R794">
            <v>5.22</v>
          </cell>
          <cell r="S794">
            <v>9.6999999999999993</v>
          </cell>
          <cell r="T794">
            <v>18.536100000000001</v>
          </cell>
          <cell r="U794">
            <v>6</v>
          </cell>
        </row>
        <row r="795">
          <cell r="A795" t="str">
            <v>KBMS-10H02-B (400 V)</v>
          </cell>
          <cell r="B795">
            <v>2.48</v>
          </cell>
          <cell r="C795">
            <v>8.65</v>
          </cell>
          <cell r="D795">
            <v>0.89900000000000002</v>
          </cell>
          <cell r="E795">
            <v>2.99</v>
          </cell>
          <cell r="L795">
            <v>0.49317090918607037</v>
          </cell>
          <cell r="M795">
            <v>15200</v>
          </cell>
          <cell r="P795">
            <v>16000</v>
          </cell>
          <cell r="Q795">
            <v>1.49E-2</v>
          </cell>
          <cell r="R795">
            <v>5.22</v>
          </cell>
          <cell r="S795">
            <v>9.6999999999999993</v>
          </cell>
          <cell r="T795">
            <v>18.536000000000001</v>
          </cell>
          <cell r="U795">
            <v>6</v>
          </cell>
        </row>
        <row r="796">
          <cell r="A796" t="str">
            <v>KBMS-10H02-C (120 V)</v>
          </cell>
          <cell r="B796">
            <v>2.2400000000000002</v>
          </cell>
          <cell r="C796">
            <v>15.5</v>
          </cell>
          <cell r="D796">
            <v>0.86799999999999999</v>
          </cell>
          <cell r="E796">
            <v>5.14</v>
          </cell>
          <cell r="H796">
            <v>0.70215416069953829</v>
          </cell>
          <cell r="I796">
            <v>8500</v>
          </cell>
          <cell r="P796">
            <v>11008</v>
          </cell>
          <cell r="Q796">
            <v>1.49E-2</v>
          </cell>
          <cell r="R796">
            <v>1.77</v>
          </cell>
          <cell r="S796">
            <v>3.2</v>
          </cell>
          <cell r="T796">
            <v>10.46</v>
          </cell>
          <cell r="U796">
            <v>6</v>
          </cell>
        </row>
        <row r="797">
          <cell r="A797" t="str">
            <v>KBMS-10H02-C (240 V)</v>
          </cell>
          <cell r="B797">
            <v>2.2400000000000002</v>
          </cell>
          <cell r="C797">
            <v>15.5</v>
          </cell>
          <cell r="D797">
            <v>0.86799999999999999</v>
          </cell>
          <cell r="E797">
            <v>5.14</v>
          </cell>
          <cell r="J797">
            <v>0.25034642399860291</v>
          </cell>
          <cell r="K797">
            <v>18500</v>
          </cell>
          <cell r="P797">
            <v>20000</v>
          </cell>
          <cell r="Q797">
            <v>1.49E-2</v>
          </cell>
          <cell r="R797">
            <v>1.77</v>
          </cell>
          <cell r="S797">
            <v>3.2</v>
          </cell>
          <cell r="T797">
            <v>10.46</v>
          </cell>
          <cell r="U797">
            <v>6</v>
          </cell>
        </row>
        <row r="798">
          <cell r="A798" t="str">
            <v>KBMS-10H03-A (120 V)</v>
          </cell>
          <cell r="B798">
            <v>3.46</v>
          </cell>
          <cell r="C798">
            <v>4.8600000000000003</v>
          </cell>
          <cell r="D798">
            <v>1.1579999999999999</v>
          </cell>
          <cell r="E798">
            <v>1.54</v>
          </cell>
          <cell r="H798">
            <v>1.0725659208366858</v>
          </cell>
          <cell r="I798">
            <v>1380</v>
          </cell>
          <cell r="P798">
            <v>2455</v>
          </cell>
          <cell r="Q798">
            <v>2.0199999999999999E-2</v>
          </cell>
          <cell r="R798">
            <v>21.2</v>
          </cell>
          <cell r="S798">
            <v>41</v>
          </cell>
          <cell r="T798">
            <v>46.4</v>
          </cell>
          <cell r="U798">
            <v>6</v>
          </cell>
        </row>
        <row r="799">
          <cell r="A799" t="str">
            <v>KBMS-10H03-A (240 V)</v>
          </cell>
          <cell r="B799">
            <v>3.46</v>
          </cell>
          <cell r="C799">
            <v>4.8600000000000003</v>
          </cell>
          <cell r="D799">
            <v>1.1579999999999999</v>
          </cell>
          <cell r="E799">
            <v>1.54</v>
          </cell>
          <cell r="J799">
            <v>1.0203357995480415</v>
          </cell>
          <cell r="K799">
            <v>3650</v>
          </cell>
          <cell r="P799">
            <v>5155</v>
          </cell>
          <cell r="Q799">
            <v>2.0199999999999999E-2</v>
          </cell>
          <cell r="R799">
            <v>21.2</v>
          </cell>
          <cell r="S799">
            <v>41</v>
          </cell>
          <cell r="T799">
            <v>46.4</v>
          </cell>
          <cell r="U799">
            <v>6</v>
          </cell>
        </row>
        <row r="800">
          <cell r="A800" t="str">
            <v>KBMS-10H03-A (400 V)</v>
          </cell>
          <cell r="B800">
            <v>3.46</v>
          </cell>
          <cell r="C800">
            <v>4.8600000000000003</v>
          </cell>
          <cell r="D800">
            <v>1.1579999999999999</v>
          </cell>
          <cell r="E800">
            <v>1.54</v>
          </cell>
          <cell r="L800">
            <v>0.98952855922352334</v>
          </cell>
          <cell r="M800">
            <v>6900</v>
          </cell>
          <cell r="P800">
            <v>8619</v>
          </cell>
          <cell r="Q800">
            <v>2.0199999999999999E-2</v>
          </cell>
          <cell r="R800">
            <v>21.2</v>
          </cell>
          <cell r="S800">
            <v>41</v>
          </cell>
          <cell r="T800">
            <v>46.4</v>
          </cell>
          <cell r="U800">
            <v>6</v>
          </cell>
        </row>
        <row r="801">
          <cell r="A801" t="str">
            <v>KBMS-10H03-A (480 V)</v>
          </cell>
          <cell r="B801">
            <v>3.46</v>
          </cell>
          <cell r="C801">
            <v>4.8600000000000003</v>
          </cell>
          <cell r="D801">
            <v>1.1579999999999999</v>
          </cell>
          <cell r="E801">
            <v>1.54</v>
          </cell>
          <cell r="N801">
            <v>0.87628839255302382</v>
          </cell>
          <cell r="O801">
            <v>8500</v>
          </cell>
          <cell r="P801">
            <v>10354</v>
          </cell>
          <cell r="Q801">
            <v>2.0199999999999999E-2</v>
          </cell>
          <cell r="R801">
            <v>21.2</v>
          </cell>
          <cell r="S801">
            <v>41</v>
          </cell>
          <cell r="T801">
            <v>46.4</v>
          </cell>
          <cell r="U801">
            <v>6</v>
          </cell>
        </row>
        <row r="802">
          <cell r="A802" t="str">
            <v>KBMS-10H03-B (120 V)</v>
          </cell>
          <cell r="B802">
            <v>3.57</v>
          </cell>
          <cell r="C802">
            <v>7.73</v>
          </cell>
          <cell r="D802">
            <v>1.17</v>
          </cell>
          <cell r="E802">
            <v>2.4</v>
          </cell>
          <cell r="H802">
            <v>1.0672743242632983</v>
          </cell>
          <cell r="I802">
            <v>2550</v>
          </cell>
          <cell r="P802">
            <v>3799</v>
          </cell>
          <cell r="Q802">
            <v>2.0199999999999999E-2</v>
          </cell>
          <cell r="R802">
            <v>8.77</v>
          </cell>
          <cell r="S802">
            <v>17</v>
          </cell>
          <cell r="T802">
            <v>30</v>
          </cell>
          <cell r="U802">
            <v>6</v>
          </cell>
        </row>
        <row r="803">
          <cell r="A803" t="str">
            <v>KBMS-10H03-B (240 V)</v>
          </cell>
          <cell r="B803">
            <v>3.57</v>
          </cell>
          <cell r="C803">
            <v>7.73</v>
          </cell>
          <cell r="D803">
            <v>1.17</v>
          </cell>
          <cell r="E803">
            <v>2.4</v>
          </cell>
          <cell r="J803">
            <v>0.98185139021865797</v>
          </cell>
          <cell r="K803">
            <v>6030</v>
          </cell>
          <cell r="P803">
            <v>7967</v>
          </cell>
          <cell r="Q803">
            <v>2.0199999999999999E-2</v>
          </cell>
          <cell r="R803">
            <v>8.77</v>
          </cell>
          <cell r="S803">
            <v>17</v>
          </cell>
          <cell r="T803">
            <v>30</v>
          </cell>
          <cell r="U803">
            <v>6</v>
          </cell>
        </row>
        <row r="804">
          <cell r="A804" t="str">
            <v>KBMS-10H03-B (400 V)</v>
          </cell>
          <cell r="B804">
            <v>3.57</v>
          </cell>
          <cell r="C804">
            <v>7.73</v>
          </cell>
          <cell r="D804">
            <v>1.17</v>
          </cell>
          <cell r="E804">
            <v>2.4</v>
          </cell>
          <cell r="L804">
            <v>0.73391973757660023</v>
          </cell>
          <cell r="M804">
            <v>11450</v>
          </cell>
          <cell r="P804">
            <v>13319</v>
          </cell>
          <cell r="Q804">
            <v>2.0199999999999999E-2</v>
          </cell>
          <cell r="R804">
            <v>8.77</v>
          </cell>
          <cell r="S804">
            <v>17</v>
          </cell>
          <cell r="T804">
            <v>30</v>
          </cell>
          <cell r="U804">
            <v>6</v>
          </cell>
        </row>
        <row r="805">
          <cell r="A805" t="str">
            <v>KBMS-10H03-B (480 V)</v>
          </cell>
          <cell r="B805">
            <v>3.57</v>
          </cell>
          <cell r="C805">
            <v>7.73</v>
          </cell>
          <cell r="D805">
            <v>1.17</v>
          </cell>
          <cell r="E805">
            <v>2.4</v>
          </cell>
          <cell r="N805">
            <v>0.49415940372588485</v>
          </cell>
          <cell r="O805">
            <v>14300</v>
          </cell>
          <cell r="P805">
            <v>16000</v>
          </cell>
          <cell r="Q805">
            <v>2.0199999999999999E-2</v>
          </cell>
          <cell r="R805">
            <v>8.77</v>
          </cell>
          <cell r="S805">
            <v>17</v>
          </cell>
          <cell r="T805">
            <v>30</v>
          </cell>
          <cell r="U805">
            <v>6</v>
          </cell>
        </row>
        <row r="806">
          <cell r="A806" t="str">
            <v>KBMS-10H03-C (120 V)</v>
          </cell>
          <cell r="B806">
            <v>3.58</v>
          </cell>
          <cell r="C806">
            <v>9.7200000000000006</v>
          </cell>
          <cell r="D806">
            <v>1.19</v>
          </cell>
          <cell r="E806">
            <v>3.05</v>
          </cell>
          <cell r="H806">
            <v>1.0724594626807715</v>
          </cell>
          <cell r="I806">
            <v>3250</v>
          </cell>
          <cell r="P806">
            <v>4762</v>
          </cell>
          <cell r="Q806">
            <v>2.0199999999999999E-2</v>
          </cell>
          <cell r="R806">
            <v>5.44</v>
          </cell>
          <cell r="S806">
            <v>11</v>
          </cell>
          <cell r="T806">
            <v>24</v>
          </cell>
          <cell r="U806">
            <v>6</v>
          </cell>
        </row>
        <row r="807">
          <cell r="A807" t="str">
            <v>KBMS-10H03-C (240 V)</v>
          </cell>
          <cell r="B807">
            <v>3.58</v>
          </cell>
          <cell r="C807">
            <v>9.7200000000000006</v>
          </cell>
          <cell r="D807">
            <v>1.19</v>
          </cell>
          <cell r="E807">
            <v>3.05</v>
          </cell>
          <cell r="J807">
            <v>0.94236479462306444</v>
          </cell>
          <cell r="K807">
            <v>7600</v>
          </cell>
          <cell r="P807">
            <v>9983</v>
          </cell>
          <cell r="Q807">
            <v>2.0199999999999999E-2</v>
          </cell>
          <cell r="R807">
            <v>5.44</v>
          </cell>
          <cell r="S807">
            <v>11</v>
          </cell>
          <cell r="T807">
            <v>24</v>
          </cell>
          <cell r="U807">
            <v>6</v>
          </cell>
        </row>
        <row r="808">
          <cell r="A808" t="str">
            <v>KBMS-10H03-C (400 V)</v>
          </cell>
          <cell r="B808">
            <v>3.58</v>
          </cell>
          <cell r="C808">
            <v>9.7200000000000006</v>
          </cell>
          <cell r="D808">
            <v>1.19</v>
          </cell>
          <cell r="E808">
            <v>3.05</v>
          </cell>
          <cell r="L808">
            <v>0.47746482927568601</v>
          </cell>
          <cell r="M808">
            <v>14500</v>
          </cell>
          <cell r="P808">
            <v>16000</v>
          </cell>
          <cell r="Q808">
            <v>2.0199999999999999E-2</v>
          </cell>
          <cell r="R808">
            <v>5.44</v>
          </cell>
          <cell r="S808">
            <v>11</v>
          </cell>
          <cell r="T808">
            <v>24</v>
          </cell>
          <cell r="U808">
            <v>6</v>
          </cell>
        </row>
        <row r="809">
          <cell r="A809" t="str">
            <v>KBMS-10H03-D (120 V)</v>
          </cell>
          <cell r="B809">
            <v>15.5</v>
          </cell>
          <cell r="C809">
            <v>17.2</v>
          </cell>
          <cell r="D809">
            <v>1.18</v>
          </cell>
          <cell r="E809">
            <v>4.66</v>
          </cell>
          <cell r="H809">
            <v>1.0070167308359925</v>
          </cell>
          <cell r="I809">
            <v>5500</v>
          </cell>
          <cell r="P809">
            <v>7333</v>
          </cell>
          <cell r="Q809">
            <v>2.0199999999999999E-2</v>
          </cell>
          <cell r="R809">
            <v>2.34</v>
          </cell>
          <cell r="S809">
            <v>4.7</v>
          </cell>
          <cell r="T809">
            <v>15.7</v>
          </cell>
          <cell r="U809">
            <v>6</v>
          </cell>
        </row>
        <row r="810">
          <cell r="A810" t="str">
            <v>KBMS-10H03-D (240 V)</v>
          </cell>
          <cell r="B810">
            <v>15.5</v>
          </cell>
          <cell r="C810">
            <v>17.2</v>
          </cell>
          <cell r="D810">
            <v>1.18</v>
          </cell>
          <cell r="E810">
            <v>4.66</v>
          </cell>
          <cell r="J810">
            <v>0.62437708443743556</v>
          </cell>
          <cell r="K810">
            <v>13000</v>
          </cell>
          <cell r="P810">
            <v>15373</v>
          </cell>
          <cell r="Q810">
            <v>2.0199999999999999E-2</v>
          </cell>
          <cell r="R810">
            <v>2.34</v>
          </cell>
          <cell r="S810">
            <v>4.7</v>
          </cell>
          <cell r="T810">
            <v>15.7</v>
          </cell>
          <cell r="U810">
            <v>6</v>
          </cell>
        </row>
        <row r="811">
          <cell r="A811" t="str">
            <v>KBMS-10H04-A (120 V)</v>
          </cell>
          <cell r="B811">
            <v>4.66</v>
          </cell>
          <cell r="C811">
            <v>5.46</v>
          </cell>
          <cell r="D811">
            <v>1.44</v>
          </cell>
          <cell r="E811">
            <v>1.6</v>
          </cell>
          <cell r="H811">
            <v>1.3285977858106046</v>
          </cell>
          <cell r="I811">
            <v>1150</v>
          </cell>
          <cell r="P811">
            <v>2022</v>
          </cell>
          <cell r="Q811">
            <v>2.5499999999999998E-2</v>
          </cell>
          <cell r="R811">
            <v>20.399999999999999</v>
          </cell>
          <cell r="S811">
            <v>44</v>
          </cell>
          <cell r="T811">
            <v>56.2</v>
          </cell>
          <cell r="U811">
            <v>6</v>
          </cell>
        </row>
        <row r="812">
          <cell r="A812" t="str">
            <v>KBMS-10H04-A (240 V)</v>
          </cell>
          <cell r="B812">
            <v>4.66</v>
          </cell>
          <cell r="C812">
            <v>5.46</v>
          </cell>
          <cell r="D812">
            <v>1.44</v>
          </cell>
          <cell r="E812">
            <v>1.6</v>
          </cell>
          <cell r="J812">
            <v>1.2891550390443522</v>
          </cell>
          <cell r="K812">
            <v>3000</v>
          </cell>
          <cell r="P812">
            <v>4251</v>
          </cell>
          <cell r="Q812">
            <v>2.5499999999999998E-2</v>
          </cell>
          <cell r="R812">
            <v>20.399999999999999</v>
          </cell>
          <cell r="S812">
            <v>44</v>
          </cell>
          <cell r="T812">
            <v>56.2</v>
          </cell>
          <cell r="U812">
            <v>6</v>
          </cell>
        </row>
        <row r="813">
          <cell r="A813" t="str">
            <v>KBMS-10H04-A (400 V)</v>
          </cell>
          <cell r="B813">
            <v>4.66</v>
          </cell>
          <cell r="C813">
            <v>5.46</v>
          </cell>
          <cell r="D813">
            <v>1.44</v>
          </cell>
          <cell r="E813">
            <v>1.6</v>
          </cell>
          <cell r="L813">
            <v>1.1791305349069114</v>
          </cell>
          <cell r="M813">
            <v>5750</v>
          </cell>
          <cell r="P813">
            <v>7109</v>
          </cell>
          <cell r="Q813">
            <v>2.5499999999999998E-2</v>
          </cell>
          <cell r="R813">
            <v>20.399999999999999</v>
          </cell>
          <cell r="S813">
            <v>44</v>
          </cell>
          <cell r="T813">
            <v>56.2</v>
          </cell>
          <cell r="U813">
            <v>6</v>
          </cell>
        </row>
        <row r="814">
          <cell r="A814" t="str">
            <v>KBMS-10H04-A (480 V)</v>
          </cell>
          <cell r="B814">
            <v>4.66</v>
          </cell>
          <cell r="C814">
            <v>5.46</v>
          </cell>
          <cell r="D814">
            <v>1.44</v>
          </cell>
          <cell r="E814">
            <v>1.6</v>
          </cell>
          <cell r="N814">
            <v>1.1106983262583334</v>
          </cell>
          <cell r="O814">
            <v>7050</v>
          </cell>
          <cell r="P814">
            <v>8541</v>
          </cell>
          <cell r="Q814">
            <v>2.5499999999999998E-2</v>
          </cell>
          <cell r="R814">
            <v>20.399999999999999</v>
          </cell>
          <cell r="S814">
            <v>44</v>
          </cell>
          <cell r="T814">
            <v>56.2</v>
          </cell>
          <cell r="U814">
            <v>6</v>
          </cell>
        </row>
        <row r="815">
          <cell r="A815" t="str">
            <v>KBMS-10H04-B (120 V)</v>
          </cell>
          <cell r="B815">
            <v>4.75</v>
          </cell>
          <cell r="C815">
            <v>8.6999999999999993</v>
          </cell>
          <cell r="D815">
            <v>1.41</v>
          </cell>
          <cell r="E815">
            <v>2.4</v>
          </cell>
          <cell r="H815">
            <v>1.2732395447351628</v>
          </cell>
          <cell r="I815">
            <v>2100</v>
          </cell>
          <cell r="P815">
            <v>3131</v>
          </cell>
          <cell r="Q815">
            <v>2.5499999999999998E-2</v>
          </cell>
          <cell r="R815">
            <v>9.02</v>
          </cell>
          <cell r="S815">
            <v>19</v>
          </cell>
          <cell r="T815">
            <v>36.4</v>
          </cell>
          <cell r="U815">
            <v>6</v>
          </cell>
        </row>
        <row r="816">
          <cell r="A816" t="str">
            <v>KBMS-10H04-B (240 V)</v>
          </cell>
          <cell r="B816">
            <v>4.75</v>
          </cell>
          <cell r="C816">
            <v>8.6999999999999993</v>
          </cell>
          <cell r="D816">
            <v>1.41</v>
          </cell>
          <cell r="E816">
            <v>2.4</v>
          </cell>
          <cell r="J816">
            <v>1.1888682496021099</v>
          </cell>
          <cell r="K816">
            <v>4980</v>
          </cell>
          <cell r="P816">
            <v>6571</v>
          </cell>
          <cell r="Q816">
            <v>2.5499999999999998E-2</v>
          </cell>
          <cell r="R816">
            <v>9.02</v>
          </cell>
          <cell r="S816">
            <v>19</v>
          </cell>
          <cell r="T816">
            <v>36.4</v>
          </cell>
          <cell r="U816">
            <v>6</v>
          </cell>
        </row>
        <row r="817">
          <cell r="A817" t="str">
            <v>KBMS-10H04-B (400 V)</v>
          </cell>
          <cell r="B817">
            <v>4.75</v>
          </cell>
          <cell r="C817">
            <v>8.6999999999999993</v>
          </cell>
          <cell r="D817">
            <v>1.41</v>
          </cell>
          <cell r="E817">
            <v>2.4</v>
          </cell>
          <cell r="L817">
            <v>0.90467020283814192</v>
          </cell>
          <cell r="M817">
            <v>9500</v>
          </cell>
          <cell r="P817">
            <v>10987</v>
          </cell>
          <cell r="Q817">
            <v>2.5499999999999998E-2</v>
          </cell>
          <cell r="R817">
            <v>9.02</v>
          </cell>
          <cell r="S817">
            <v>19</v>
          </cell>
          <cell r="T817">
            <v>36.4</v>
          </cell>
          <cell r="U817">
            <v>6</v>
          </cell>
        </row>
        <row r="818">
          <cell r="A818" t="str">
            <v>KBMS-10H04-B (480 V)</v>
          </cell>
          <cell r="B818">
            <v>4.75</v>
          </cell>
          <cell r="C818">
            <v>8.6999999999999993</v>
          </cell>
          <cell r="D818">
            <v>1.41</v>
          </cell>
          <cell r="E818">
            <v>2.4</v>
          </cell>
          <cell r="N818">
            <v>0.71412130987319988</v>
          </cell>
          <cell r="O818">
            <v>11500</v>
          </cell>
          <cell r="P818">
            <v>13200</v>
          </cell>
          <cell r="Q818">
            <v>2.5499999999999998E-2</v>
          </cell>
          <cell r="R818">
            <v>9.02</v>
          </cell>
          <cell r="S818">
            <v>19</v>
          </cell>
          <cell r="T818">
            <v>36.4</v>
          </cell>
          <cell r="U818">
            <v>6</v>
          </cell>
        </row>
        <row r="819">
          <cell r="A819" t="str">
            <v>KBMS-10H04-C (120 V)</v>
          </cell>
          <cell r="B819">
            <v>4.8</v>
          </cell>
          <cell r="C819">
            <v>10.9</v>
          </cell>
          <cell r="D819">
            <v>1.44</v>
          </cell>
          <cell r="E819">
            <v>3.1</v>
          </cell>
          <cell r="H819">
            <v>1.308607309866695</v>
          </cell>
          <cell r="I819">
            <v>2700</v>
          </cell>
          <cell r="P819">
            <v>3944</v>
          </cell>
          <cell r="Q819">
            <v>2.5499999999999998E-2</v>
          </cell>
          <cell r="R819">
            <v>5.44</v>
          </cell>
          <cell r="S819">
            <v>11.8</v>
          </cell>
          <cell r="T819">
            <v>29</v>
          </cell>
          <cell r="U819">
            <v>6</v>
          </cell>
        </row>
        <row r="820">
          <cell r="A820" t="str">
            <v>KBMS-10H04-C (240 V)</v>
          </cell>
          <cell r="B820">
            <v>4.8</v>
          </cell>
          <cell r="C820">
            <v>10.9</v>
          </cell>
          <cell r="D820">
            <v>1.44</v>
          </cell>
          <cell r="E820">
            <v>3.1</v>
          </cell>
          <cell r="J820">
            <v>1.1519786357127662</v>
          </cell>
          <cell r="K820">
            <v>6300</v>
          </cell>
          <cell r="P820">
            <v>8273</v>
          </cell>
          <cell r="Q820">
            <v>2.5499999999999998E-2</v>
          </cell>
          <cell r="R820">
            <v>5.44</v>
          </cell>
          <cell r="S820">
            <v>11.8</v>
          </cell>
          <cell r="T820">
            <v>29</v>
          </cell>
          <cell r="U820">
            <v>6</v>
          </cell>
        </row>
        <row r="821">
          <cell r="A821" t="str">
            <v>KBMS-10H04-C (400 V)</v>
          </cell>
          <cell r="B821">
            <v>4.8</v>
          </cell>
          <cell r="C821">
            <v>10.9</v>
          </cell>
          <cell r="D821">
            <v>1.44</v>
          </cell>
          <cell r="E821">
            <v>3.1</v>
          </cell>
          <cell r="L821">
            <v>0.66845076098596046</v>
          </cell>
          <cell r="M821">
            <v>12000</v>
          </cell>
          <cell r="P821">
            <v>13833</v>
          </cell>
          <cell r="Q821">
            <v>2.5499999999999998E-2</v>
          </cell>
          <cell r="R821">
            <v>5.44</v>
          </cell>
          <cell r="S821">
            <v>11.8</v>
          </cell>
          <cell r="T821">
            <v>29</v>
          </cell>
          <cell r="U821">
            <v>6</v>
          </cell>
        </row>
        <row r="822">
          <cell r="A822" t="str">
            <v>KBMS-10H04-D (120 V)</v>
          </cell>
          <cell r="B822">
            <v>4.91</v>
          </cell>
          <cell r="C822">
            <v>15.5</v>
          </cell>
          <cell r="D822">
            <v>1.41</v>
          </cell>
          <cell r="E822">
            <v>4.21</v>
          </cell>
          <cell r="H822">
            <v>1.2277667038517641</v>
          </cell>
          <cell r="I822">
            <v>4200</v>
          </cell>
          <cell r="P822">
            <v>5489</v>
          </cell>
          <cell r="Q822">
            <v>2.5499999999999998E-2</v>
          </cell>
          <cell r="R822">
            <v>2.94</v>
          </cell>
          <cell r="S822">
            <v>6.2</v>
          </cell>
          <cell r="T822">
            <v>20.9</v>
          </cell>
          <cell r="U822">
            <v>6</v>
          </cell>
        </row>
        <row r="823">
          <cell r="A823" t="str">
            <v>KBMS-10H04-D (240 V)</v>
          </cell>
          <cell r="B823">
            <v>4.91</v>
          </cell>
          <cell r="C823">
            <v>15.5</v>
          </cell>
          <cell r="D823">
            <v>1.41</v>
          </cell>
          <cell r="E823">
            <v>4.21</v>
          </cell>
          <cell r="J823">
            <v>0.909696148409465</v>
          </cell>
          <cell r="K823">
            <v>9500</v>
          </cell>
          <cell r="P823">
            <v>11509</v>
          </cell>
          <cell r="Q823">
            <v>2.5499999999999998E-2</v>
          </cell>
          <cell r="R823">
            <v>2.94</v>
          </cell>
          <cell r="S823">
            <v>6.2</v>
          </cell>
          <cell r="T823">
            <v>20.9</v>
          </cell>
          <cell r="U823">
            <v>6</v>
          </cell>
        </row>
        <row r="824">
          <cell r="A824" t="str">
            <v>KBMS-14H01-A (120 V)</v>
          </cell>
          <cell r="B824">
            <v>3.28</v>
          </cell>
          <cell r="C824">
            <v>4.32</v>
          </cell>
          <cell r="D824">
            <v>1.2</v>
          </cell>
          <cell r="E824">
            <v>1.53</v>
          </cell>
          <cell r="H824">
            <v>1.1018419137131217</v>
          </cell>
          <cell r="I824">
            <v>1300</v>
          </cell>
          <cell r="P824">
            <v>2308</v>
          </cell>
          <cell r="Q824">
            <v>3.3599999999999998E-2</v>
          </cell>
          <cell r="R824">
            <v>21.4</v>
          </cell>
          <cell r="S824">
            <v>38</v>
          </cell>
          <cell r="T824">
            <v>49.3</v>
          </cell>
          <cell r="U824">
            <v>8</v>
          </cell>
        </row>
        <row r="825">
          <cell r="A825" t="str">
            <v>KBMS-14H01-A (240 V)</v>
          </cell>
          <cell r="B825">
            <v>3.28</v>
          </cell>
          <cell r="C825">
            <v>4.32</v>
          </cell>
          <cell r="D825">
            <v>1.2</v>
          </cell>
          <cell r="E825">
            <v>1.53</v>
          </cell>
          <cell r="J825">
            <v>1.083203791789616</v>
          </cell>
          <cell r="K825">
            <v>3350</v>
          </cell>
          <cell r="P825">
            <v>4849</v>
          </cell>
          <cell r="Q825">
            <v>3.3599999999999998E-2</v>
          </cell>
          <cell r="R825">
            <v>21.4</v>
          </cell>
          <cell r="S825">
            <v>38</v>
          </cell>
          <cell r="T825">
            <v>49.3</v>
          </cell>
          <cell r="U825">
            <v>8</v>
          </cell>
        </row>
        <row r="826">
          <cell r="A826" t="str">
            <v>KBMS-14H01-A (400 V)</v>
          </cell>
          <cell r="B826">
            <v>3.28</v>
          </cell>
          <cell r="C826">
            <v>4.32</v>
          </cell>
          <cell r="D826">
            <v>1.2</v>
          </cell>
          <cell r="E826">
            <v>1.53</v>
          </cell>
          <cell r="L826">
            <v>0.9698504344662372</v>
          </cell>
          <cell r="M826">
            <v>6400</v>
          </cell>
          <cell r="P826">
            <v>8109</v>
          </cell>
          <cell r="Q826">
            <v>3.3599999999999998E-2</v>
          </cell>
          <cell r="R826">
            <v>21.4</v>
          </cell>
          <cell r="S826">
            <v>38</v>
          </cell>
          <cell r="T826">
            <v>49.3</v>
          </cell>
          <cell r="U826">
            <v>8</v>
          </cell>
        </row>
        <row r="827">
          <cell r="A827" t="str">
            <v>KBMS-14H01-A (480 V)</v>
          </cell>
          <cell r="B827">
            <v>3.28</v>
          </cell>
          <cell r="C827">
            <v>4.32</v>
          </cell>
          <cell r="D827">
            <v>1.2</v>
          </cell>
          <cell r="E827">
            <v>1.53</v>
          </cell>
          <cell r="N827">
            <v>0.89449107256710791</v>
          </cell>
          <cell r="O827">
            <v>7900</v>
          </cell>
          <cell r="P827">
            <v>9741</v>
          </cell>
          <cell r="Q827">
            <v>3.3599999999999998E-2</v>
          </cell>
          <cell r="R827">
            <v>21.4</v>
          </cell>
          <cell r="S827">
            <v>38</v>
          </cell>
          <cell r="T827">
            <v>49.3</v>
          </cell>
          <cell r="U827">
            <v>8</v>
          </cell>
        </row>
        <row r="828">
          <cell r="A828" t="str">
            <v>KBMS-14H01-B (120 V)</v>
          </cell>
          <cell r="B828">
            <v>3.43</v>
          </cell>
          <cell r="C828">
            <v>9.6300000000000008</v>
          </cell>
          <cell r="D828">
            <v>1.25</v>
          </cell>
          <cell r="E828">
            <v>3.25</v>
          </cell>
          <cell r="H828">
            <v>1.1186318857316073</v>
          </cell>
          <cell r="I828">
            <v>3500</v>
          </cell>
          <cell r="P828">
            <v>5022</v>
          </cell>
          <cell r="Q828">
            <v>3.3599999999999998E-2</v>
          </cell>
          <cell r="R828">
            <v>4.74</v>
          </cell>
          <cell r="S828">
            <v>9</v>
          </cell>
          <cell r="T828">
            <v>23.7</v>
          </cell>
          <cell r="U828">
            <v>8</v>
          </cell>
        </row>
        <row r="829">
          <cell r="A829" t="str">
            <v>KBMS-14H01-B (240 V)</v>
          </cell>
          <cell r="B829">
            <v>3.43</v>
          </cell>
          <cell r="C829">
            <v>9.6300000000000008</v>
          </cell>
          <cell r="D829">
            <v>1.25</v>
          </cell>
          <cell r="E829">
            <v>3.25</v>
          </cell>
          <cell r="J829">
            <v>0.93691211782398764</v>
          </cell>
          <cell r="K829">
            <v>7950</v>
          </cell>
          <cell r="P829">
            <v>10088</v>
          </cell>
          <cell r="Q829">
            <v>3.3599999999999998E-2</v>
          </cell>
          <cell r="R829">
            <v>4.74</v>
          </cell>
          <cell r="S829">
            <v>9</v>
          </cell>
          <cell r="T829">
            <v>23.7</v>
          </cell>
          <cell r="U829">
            <v>8</v>
          </cell>
        </row>
        <row r="830">
          <cell r="A830" t="str">
            <v>KBMS-14H01-B (400 V)</v>
          </cell>
          <cell r="B830">
            <v>3.43</v>
          </cell>
          <cell r="C830">
            <v>9.6300000000000008</v>
          </cell>
          <cell r="D830">
            <v>1.25</v>
          </cell>
          <cell r="E830">
            <v>3.25</v>
          </cell>
          <cell r="L830">
            <v>0.56102117439893107</v>
          </cell>
          <cell r="M830">
            <v>12000</v>
          </cell>
          <cell r="P830">
            <v>12000</v>
          </cell>
          <cell r="Q830">
            <v>3.3599999999999998E-2</v>
          </cell>
          <cell r="R830">
            <v>4.74</v>
          </cell>
          <cell r="S830">
            <v>9</v>
          </cell>
          <cell r="T830">
            <v>23.7</v>
          </cell>
          <cell r="U830">
            <v>8</v>
          </cell>
        </row>
        <row r="831">
          <cell r="A831" t="str">
            <v>KBMS-14H01-C (120 V)</v>
          </cell>
          <cell r="B831">
            <v>3.59</v>
          </cell>
          <cell r="C831">
            <v>19.399999999999999</v>
          </cell>
          <cell r="D831">
            <v>1.21</v>
          </cell>
          <cell r="E831">
            <v>6.25</v>
          </cell>
          <cell r="H831">
            <v>0.91036627448564134</v>
          </cell>
          <cell r="I831">
            <v>7500</v>
          </cell>
          <cell r="P831">
            <v>9539</v>
          </cell>
          <cell r="Q831">
            <v>3.3599999999999998E-2</v>
          </cell>
          <cell r="R831">
            <v>1.29</v>
          </cell>
          <cell r="S831">
            <v>2.4</v>
          </cell>
          <cell r="T831">
            <v>12.1</v>
          </cell>
          <cell r="U831">
            <v>8</v>
          </cell>
        </row>
        <row r="832">
          <cell r="A832" t="str">
            <v>KBMS-14H01-C (240 V)</v>
          </cell>
          <cell r="B832">
            <v>3.59</v>
          </cell>
          <cell r="C832">
            <v>19.399999999999999</v>
          </cell>
          <cell r="D832">
            <v>1.21</v>
          </cell>
          <cell r="E832">
            <v>6.25</v>
          </cell>
          <cell r="J832">
            <v>0.64723010190704111</v>
          </cell>
          <cell r="K832">
            <v>13500</v>
          </cell>
          <cell r="P832">
            <v>12000</v>
          </cell>
          <cell r="Q832">
            <v>3.3599999999999998E-2</v>
          </cell>
          <cell r="R832">
            <v>1.29</v>
          </cell>
          <cell r="S832">
            <v>2.4</v>
          </cell>
          <cell r="T832">
            <v>12.1</v>
          </cell>
          <cell r="U832">
            <v>8</v>
          </cell>
        </row>
        <row r="833">
          <cell r="A833" t="str">
            <v>KBMS-14H02-A (120 V)</v>
          </cell>
          <cell r="B833">
            <v>6.67</v>
          </cell>
          <cell r="C833">
            <v>5.39</v>
          </cell>
          <cell r="D833">
            <v>2.08</v>
          </cell>
          <cell r="E833">
            <v>1.59</v>
          </cell>
          <cell r="H833">
            <v>1.9757165349338732</v>
          </cell>
          <cell r="I833">
            <v>725</v>
          </cell>
          <cell r="P833">
            <v>1461</v>
          </cell>
          <cell r="Q833">
            <v>5.5600000000000004E-2</v>
          </cell>
          <cell r="R833">
            <v>23.8</v>
          </cell>
          <cell r="S833">
            <v>47</v>
          </cell>
          <cell r="T833">
            <v>80.8</v>
          </cell>
          <cell r="U833">
            <v>8</v>
          </cell>
        </row>
        <row r="834">
          <cell r="A834" t="str">
            <v>KBMS-14H02-A (240 V)</v>
          </cell>
          <cell r="B834">
            <v>6.67</v>
          </cell>
          <cell r="C834">
            <v>5.39</v>
          </cell>
          <cell r="D834">
            <v>2.08</v>
          </cell>
          <cell r="E834">
            <v>1.59</v>
          </cell>
          <cell r="J834">
            <v>1.8621128341751756</v>
          </cell>
          <cell r="K834">
            <v>2000</v>
          </cell>
          <cell r="P834">
            <v>2944</v>
          </cell>
          <cell r="Q834">
            <v>5.5600000000000004E-2</v>
          </cell>
          <cell r="R834">
            <v>23.8</v>
          </cell>
          <cell r="S834">
            <v>47</v>
          </cell>
          <cell r="T834">
            <v>80.8</v>
          </cell>
          <cell r="U834">
            <v>8</v>
          </cell>
        </row>
        <row r="835">
          <cell r="A835" t="str">
            <v>KBMS-14H02-A (400 V)</v>
          </cell>
          <cell r="B835">
            <v>6.67</v>
          </cell>
          <cell r="C835">
            <v>5.39</v>
          </cell>
          <cell r="D835">
            <v>2.08</v>
          </cell>
          <cell r="E835">
            <v>1.59</v>
          </cell>
          <cell r="L835">
            <v>1.7384616860807027</v>
          </cell>
          <cell r="M835">
            <v>3900</v>
          </cell>
          <cell r="P835">
            <v>4924</v>
          </cell>
          <cell r="Q835">
            <v>5.5600000000000004E-2</v>
          </cell>
          <cell r="R835">
            <v>23.8</v>
          </cell>
          <cell r="S835">
            <v>47</v>
          </cell>
          <cell r="T835">
            <v>80.8</v>
          </cell>
          <cell r="U835">
            <v>8</v>
          </cell>
        </row>
        <row r="836">
          <cell r="A836" t="str">
            <v>KBMS-14H02-A (480 V)</v>
          </cell>
          <cell r="B836">
            <v>6.67</v>
          </cell>
          <cell r="C836">
            <v>5.39</v>
          </cell>
          <cell r="D836">
            <v>2.08</v>
          </cell>
          <cell r="E836">
            <v>1.59</v>
          </cell>
          <cell r="N836">
            <v>1.6370222718023522</v>
          </cell>
          <cell r="O836">
            <v>4900</v>
          </cell>
          <cell r="P836">
            <v>5915</v>
          </cell>
          <cell r="Q836">
            <v>5.5600000000000004E-2</v>
          </cell>
          <cell r="R836">
            <v>23.8</v>
          </cell>
          <cell r="S836">
            <v>47</v>
          </cell>
          <cell r="T836">
            <v>80.8</v>
          </cell>
          <cell r="U836">
            <v>8</v>
          </cell>
        </row>
        <row r="837">
          <cell r="A837" t="str">
            <v>KBMS-14H02-B (120 V)</v>
          </cell>
          <cell r="B837">
            <v>6.83</v>
          </cell>
          <cell r="C837">
            <v>8.57</v>
          </cell>
          <cell r="D837">
            <v>2.08</v>
          </cell>
          <cell r="E837">
            <v>2.42</v>
          </cell>
          <cell r="H837">
            <v>1.909859317102744</v>
          </cell>
          <cell r="I837">
            <v>1350</v>
          </cell>
          <cell r="P837">
            <v>2139</v>
          </cell>
          <cell r="Q837">
            <v>5.5600000000000004E-2</v>
          </cell>
          <cell r="R837">
            <v>10.3</v>
          </cell>
          <cell r="S837">
            <v>20</v>
          </cell>
          <cell r="T837">
            <v>53.4</v>
          </cell>
          <cell r="U837">
            <v>8</v>
          </cell>
        </row>
        <row r="838">
          <cell r="A838" t="str">
            <v>KBMS-14H02-B (240 V)</v>
          </cell>
          <cell r="B838">
            <v>6.83</v>
          </cell>
          <cell r="C838">
            <v>8.57</v>
          </cell>
          <cell r="D838">
            <v>2.08</v>
          </cell>
          <cell r="E838">
            <v>2.42</v>
          </cell>
          <cell r="J838">
            <v>1.7941102675813656</v>
          </cell>
          <cell r="K838">
            <v>3300</v>
          </cell>
          <cell r="P838">
            <v>4489</v>
          </cell>
          <cell r="Q838">
            <v>5.5600000000000004E-2</v>
          </cell>
          <cell r="R838">
            <v>10.3</v>
          </cell>
          <cell r="S838">
            <v>20</v>
          </cell>
          <cell r="T838">
            <v>53.4</v>
          </cell>
          <cell r="U838">
            <v>8</v>
          </cell>
        </row>
        <row r="839">
          <cell r="A839" t="str">
            <v>KBMS-14H02-B (400 V)</v>
          </cell>
          <cell r="B839">
            <v>6.83</v>
          </cell>
          <cell r="C839">
            <v>8.57</v>
          </cell>
          <cell r="D839">
            <v>2.08</v>
          </cell>
          <cell r="E839">
            <v>2.42</v>
          </cell>
          <cell r="L839">
            <v>1.382510102678852</v>
          </cell>
          <cell r="M839">
            <v>6700</v>
          </cell>
          <cell r="P839">
            <v>7505</v>
          </cell>
          <cell r="Q839">
            <v>5.5600000000000004E-2</v>
          </cell>
          <cell r="R839">
            <v>10.3</v>
          </cell>
          <cell r="S839">
            <v>20</v>
          </cell>
          <cell r="T839">
            <v>53.4</v>
          </cell>
          <cell r="U839">
            <v>8</v>
          </cell>
        </row>
        <row r="840">
          <cell r="A840" t="str">
            <v>KBMS-14H02-B (480 V)</v>
          </cell>
          <cell r="B840">
            <v>6.83</v>
          </cell>
          <cell r="C840">
            <v>8.57</v>
          </cell>
          <cell r="D840">
            <v>2.08</v>
          </cell>
          <cell r="E840">
            <v>2.42</v>
          </cell>
          <cell r="N840">
            <v>1.2401683877290546</v>
          </cell>
          <cell r="O840">
            <v>7700</v>
          </cell>
          <cell r="P840">
            <v>9016</v>
          </cell>
          <cell r="Q840">
            <v>5.5600000000000004E-2</v>
          </cell>
          <cell r="R840">
            <v>10.3</v>
          </cell>
          <cell r="S840">
            <v>20</v>
          </cell>
          <cell r="T840">
            <v>53.4</v>
          </cell>
          <cell r="U840">
            <v>8</v>
          </cell>
        </row>
        <row r="841">
          <cell r="A841" t="str">
            <v>KBMS-14H02-C (120 V)</v>
          </cell>
          <cell r="B841">
            <v>6.98</v>
          </cell>
          <cell r="C841">
            <v>10.9</v>
          </cell>
          <cell r="D841">
            <v>2.11</v>
          </cell>
          <cell r="E841">
            <v>3.1</v>
          </cell>
          <cell r="H841">
            <v>1.9098593171027443</v>
          </cell>
          <cell r="I841">
            <v>1800</v>
          </cell>
          <cell r="P841">
            <v>2704</v>
          </cell>
          <cell r="Q841">
            <v>5.5600000000000004E-2</v>
          </cell>
          <cell r="R841">
            <v>6.3</v>
          </cell>
          <cell r="S841">
            <v>12.8</v>
          </cell>
          <cell r="T841">
            <v>42.3</v>
          </cell>
          <cell r="U841">
            <v>8</v>
          </cell>
        </row>
        <row r="842">
          <cell r="A842" t="str">
            <v>KBMS-14H02-C (240 V)</v>
          </cell>
          <cell r="B842">
            <v>6.98</v>
          </cell>
          <cell r="C842">
            <v>10.9</v>
          </cell>
          <cell r="D842">
            <v>2.11</v>
          </cell>
          <cell r="E842">
            <v>3.1</v>
          </cell>
          <cell r="J842">
            <v>1.7301078519636623</v>
          </cell>
          <cell r="K842">
            <v>4250</v>
          </cell>
          <cell r="P842">
            <v>5671</v>
          </cell>
          <cell r="Q842">
            <v>5.5600000000000004E-2</v>
          </cell>
          <cell r="R842">
            <v>6.3</v>
          </cell>
          <cell r="S842">
            <v>12.8</v>
          </cell>
          <cell r="T842">
            <v>42.3</v>
          </cell>
          <cell r="U842">
            <v>8</v>
          </cell>
        </row>
        <row r="843">
          <cell r="A843" t="str">
            <v>KBMS-14H02-C (400 V)</v>
          </cell>
          <cell r="B843">
            <v>6.98</v>
          </cell>
          <cell r="C843">
            <v>10.9</v>
          </cell>
          <cell r="D843">
            <v>2.11</v>
          </cell>
          <cell r="E843">
            <v>3.1</v>
          </cell>
          <cell r="L843">
            <v>1.2055986939211072</v>
          </cell>
          <cell r="M843">
            <v>8000</v>
          </cell>
          <cell r="P843">
            <v>9481</v>
          </cell>
          <cell r="Q843">
            <v>5.5600000000000004E-2</v>
          </cell>
          <cell r="R843">
            <v>6.3</v>
          </cell>
          <cell r="S843">
            <v>12.8</v>
          </cell>
          <cell r="T843">
            <v>42.3</v>
          </cell>
          <cell r="U843">
            <v>8</v>
          </cell>
        </row>
        <row r="844">
          <cell r="A844" t="str">
            <v>KBMS-14H02-C (480 V)</v>
          </cell>
          <cell r="B844">
            <v>6.98</v>
          </cell>
          <cell r="C844">
            <v>10.9</v>
          </cell>
          <cell r="D844">
            <v>2.11</v>
          </cell>
          <cell r="E844">
            <v>3.1</v>
          </cell>
          <cell r="N844">
            <v>0.5496668278490825</v>
          </cell>
          <cell r="O844">
            <v>10250</v>
          </cell>
          <cell r="P844">
            <v>11390</v>
          </cell>
          <cell r="Q844">
            <v>5.5600000000000004E-2</v>
          </cell>
          <cell r="R844">
            <v>6.3</v>
          </cell>
          <cell r="S844">
            <v>12.8</v>
          </cell>
          <cell r="T844">
            <v>42.3</v>
          </cell>
          <cell r="U844">
            <v>8</v>
          </cell>
        </row>
        <row r="845">
          <cell r="A845" t="str">
            <v>KBMS-14H02-D (120 V)</v>
          </cell>
          <cell r="B845">
            <v>7.31</v>
          </cell>
          <cell r="C845">
            <v>21.8</v>
          </cell>
          <cell r="D845">
            <v>2.1749999999999998</v>
          </cell>
          <cell r="E845">
            <v>5.97</v>
          </cell>
          <cell r="H845">
            <v>1.8608885653821607</v>
          </cell>
          <cell r="I845">
            <v>3900</v>
          </cell>
          <cell r="P845">
            <v>5084</v>
          </cell>
          <cell r="Q845">
            <v>5.5600000000000004E-2</v>
          </cell>
          <cell r="R845">
            <v>1.69</v>
          </cell>
          <cell r="S845">
            <v>3.6</v>
          </cell>
          <cell r="T845">
            <v>22.6</v>
          </cell>
          <cell r="U845">
            <v>8</v>
          </cell>
        </row>
        <row r="846">
          <cell r="A846" t="str">
            <v>KBMS-14H02-D (240 V)</v>
          </cell>
          <cell r="B846">
            <v>7.31</v>
          </cell>
          <cell r="C846">
            <v>21.8</v>
          </cell>
          <cell r="D846">
            <v>2.1749999999999998</v>
          </cell>
          <cell r="E846">
            <v>5.97</v>
          </cell>
          <cell r="J846">
            <v>1.1051433127055206</v>
          </cell>
          <cell r="K846">
            <v>8900</v>
          </cell>
          <cell r="P846">
            <v>10660</v>
          </cell>
          <cell r="Q846">
            <v>5.5600000000000004E-2</v>
          </cell>
          <cell r="R846">
            <v>1.69</v>
          </cell>
          <cell r="S846">
            <v>3.6</v>
          </cell>
          <cell r="T846">
            <v>22.6</v>
          </cell>
          <cell r="U846">
            <v>8</v>
          </cell>
        </row>
        <row r="847">
          <cell r="A847" t="str">
            <v>KBMS-14H03-A (120 V)</v>
          </cell>
          <cell r="B847">
            <v>10.4</v>
          </cell>
          <cell r="C847">
            <v>5.9</v>
          </cell>
          <cell r="D847">
            <v>2.82</v>
          </cell>
          <cell r="E847">
            <v>1.64</v>
          </cell>
          <cell r="H847">
            <v>2.5783100780887045</v>
          </cell>
          <cell r="I847">
            <v>500</v>
          </cell>
          <cell r="P847">
            <v>1051</v>
          </cell>
          <cell r="Q847">
            <v>8.8099999999999998E-2</v>
          </cell>
          <cell r="R847">
            <v>26.6</v>
          </cell>
          <cell r="S847">
            <v>54</v>
          </cell>
          <cell r="T847">
            <v>108</v>
          </cell>
          <cell r="U847">
            <v>8</v>
          </cell>
        </row>
        <row r="848">
          <cell r="A848" t="str">
            <v>KBMS-14H03-A (240 V)</v>
          </cell>
          <cell r="B848">
            <v>10.4</v>
          </cell>
          <cell r="C848">
            <v>5.9</v>
          </cell>
          <cell r="D848">
            <v>2.82</v>
          </cell>
          <cell r="E848">
            <v>1.64</v>
          </cell>
          <cell r="J848">
            <v>2.5464790894703255</v>
          </cell>
          <cell r="K848">
            <v>1500</v>
          </cell>
          <cell r="P848">
            <v>2217</v>
          </cell>
          <cell r="Q848">
            <v>8.8099999999999998E-2</v>
          </cell>
          <cell r="R848">
            <v>26.6</v>
          </cell>
          <cell r="S848">
            <v>54</v>
          </cell>
          <cell r="T848">
            <v>108</v>
          </cell>
          <cell r="U848">
            <v>8</v>
          </cell>
        </row>
        <row r="849">
          <cell r="A849" t="str">
            <v>KBMS-14H03-A (400 V)</v>
          </cell>
          <cell r="B849">
            <v>10.4</v>
          </cell>
          <cell r="C849">
            <v>5.9</v>
          </cell>
          <cell r="D849">
            <v>2.82</v>
          </cell>
          <cell r="E849">
            <v>1.64</v>
          </cell>
          <cell r="L849">
            <v>2.4124538742350454</v>
          </cell>
          <cell r="M849">
            <v>2850</v>
          </cell>
          <cell r="P849">
            <v>3710</v>
          </cell>
          <cell r="Q849">
            <v>8.8099999999999998E-2</v>
          </cell>
          <cell r="R849">
            <v>26.6</v>
          </cell>
          <cell r="S849">
            <v>54</v>
          </cell>
          <cell r="T849">
            <v>108</v>
          </cell>
          <cell r="U849">
            <v>8</v>
          </cell>
        </row>
        <row r="850">
          <cell r="A850" t="str">
            <v>KBMS-14H03-A (480 V)</v>
          </cell>
          <cell r="B850">
            <v>10.4</v>
          </cell>
          <cell r="C850">
            <v>5.9</v>
          </cell>
          <cell r="D850">
            <v>2.82</v>
          </cell>
          <cell r="E850">
            <v>1.64</v>
          </cell>
          <cell r="N850">
            <v>2.3210095867568072</v>
          </cell>
          <cell r="O850">
            <v>3600</v>
          </cell>
          <cell r="P850">
            <v>4458</v>
          </cell>
          <cell r="Q850">
            <v>8.8099999999999998E-2</v>
          </cell>
          <cell r="R850">
            <v>26.6</v>
          </cell>
          <cell r="S850">
            <v>54</v>
          </cell>
          <cell r="T850">
            <v>108</v>
          </cell>
          <cell r="U850">
            <v>8</v>
          </cell>
        </row>
        <row r="851">
          <cell r="A851" t="str">
            <v>KBMS-14H03-B (120 V)</v>
          </cell>
          <cell r="B851">
            <v>10.4</v>
          </cell>
          <cell r="C851">
            <v>10.3</v>
          </cell>
          <cell r="D851">
            <v>2.87</v>
          </cell>
          <cell r="E851">
            <v>2.81</v>
          </cell>
          <cell r="H851">
            <v>2.6571955716212092</v>
          </cell>
          <cell r="I851">
            <v>1150</v>
          </cell>
          <cell r="P851">
            <v>1789</v>
          </cell>
          <cell r="Q851">
            <v>8.8099999999999998E-2</v>
          </cell>
          <cell r="R851">
            <v>9.01</v>
          </cell>
          <cell r="S851">
            <v>19</v>
          </cell>
          <cell r="T851">
            <v>63.7</v>
          </cell>
          <cell r="U851">
            <v>8</v>
          </cell>
        </row>
        <row r="852">
          <cell r="A852" t="str">
            <v>KBMS-14H03-B (240 V)</v>
          </cell>
          <cell r="B852">
            <v>10.4</v>
          </cell>
          <cell r="C852">
            <v>10.3</v>
          </cell>
          <cell r="D852">
            <v>2.87</v>
          </cell>
          <cell r="E852">
            <v>2.81</v>
          </cell>
          <cell r="J852">
            <v>2.4794664818526857</v>
          </cell>
          <cell r="K852">
            <v>2850</v>
          </cell>
          <cell r="P852">
            <v>3757</v>
          </cell>
          <cell r="Q852">
            <v>8.8099999999999998E-2</v>
          </cell>
          <cell r="R852">
            <v>9.01</v>
          </cell>
          <cell r="S852">
            <v>19</v>
          </cell>
          <cell r="T852">
            <v>63.7</v>
          </cell>
          <cell r="U852">
            <v>8</v>
          </cell>
        </row>
        <row r="853">
          <cell r="A853" t="str">
            <v>KBMS-14H03-B (400 V)</v>
          </cell>
          <cell r="B853">
            <v>10.4</v>
          </cell>
          <cell r="C853">
            <v>10.3</v>
          </cell>
          <cell r="D853">
            <v>2.87</v>
          </cell>
          <cell r="E853">
            <v>2.81</v>
          </cell>
          <cell r="L853">
            <v>1.961016263096568</v>
          </cell>
          <cell r="M853">
            <v>5600</v>
          </cell>
          <cell r="P853">
            <v>6283</v>
          </cell>
          <cell r="Q853">
            <v>8.8099999999999998E-2</v>
          </cell>
          <cell r="R853">
            <v>9.01</v>
          </cell>
          <cell r="S853">
            <v>19</v>
          </cell>
          <cell r="T853">
            <v>63.7</v>
          </cell>
          <cell r="U853">
            <v>8</v>
          </cell>
        </row>
        <row r="854">
          <cell r="A854" t="str">
            <v>KBMS-14H03-B (480 V)</v>
          </cell>
          <cell r="B854">
            <v>10.4</v>
          </cell>
          <cell r="C854">
            <v>10.3</v>
          </cell>
          <cell r="D854">
            <v>2.87</v>
          </cell>
          <cell r="E854">
            <v>2.81</v>
          </cell>
          <cell r="N854">
            <v>1.7923295129733443</v>
          </cell>
          <cell r="O854">
            <v>6500</v>
          </cell>
          <cell r="P854">
            <v>7549</v>
          </cell>
          <cell r="Q854">
            <v>8.8099999999999998E-2</v>
          </cell>
          <cell r="R854">
            <v>9.01</v>
          </cell>
          <cell r="S854">
            <v>19</v>
          </cell>
          <cell r="T854">
            <v>63.7</v>
          </cell>
          <cell r="U854">
            <v>8</v>
          </cell>
        </row>
        <row r="855">
          <cell r="A855" t="str">
            <v>KBMS-14H03-C (120 V)</v>
          </cell>
          <cell r="B855">
            <v>10.4</v>
          </cell>
          <cell r="C855">
            <v>22.5</v>
          </cell>
          <cell r="D855">
            <v>2.92</v>
          </cell>
          <cell r="E855">
            <v>6.04</v>
          </cell>
          <cell r="H855">
            <v>2.4828171122335672</v>
          </cell>
          <cell r="I855">
            <v>3000</v>
          </cell>
          <cell r="P855">
            <v>3806</v>
          </cell>
          <cell r="Q855">
            <v>8.8099999999999998E-2</v>
          </cell>
          <cell r="R855">
            <v>1.96</v>
          </cell>
          <cell r="S855">
            <v>4.0999999999999996</v>
          </cell>
          <cell r="T855">
            <v>30</v>
          </cell>
          <cell r="U855">
            <v>8</v>
          </cell>
        </row>
        <row r="856">
          <cell r="A856" t="str">
            <v>KBMS-14H03-C (240 V)</v>
          </cell>
          <cell r="B856">
            <v>10.4</v>
          </cell>
          <cell r="C856">
            <v>22.5</v>
          </cell>
          <cell r="D856">
            <v>2.92</v>
          </cell>
          <cell r="E856">
            <v>6.04</v>
          </cell>
          <cell r="J856">
            <v>1.7796416363911933</v>
          </cell>
          <cell r="K856">
            <v>6600</v>
          </cell>
          <cell r="P856">
            <v>7980</v>
          </cell>
          <cell r="Q856">
            <v>8.8099999999999998E-2</v>
          </cell>
          <cell r="R856">
            <v>1.96</v>
          </cell>
          <cell r="S856">
            <v>4.0999999999999996</v>
          </cell>
          <cell r="T856">
            <v>30</v>
          </cell>
          <cell r="U856">
            <v>8</v>
          </cell>
        </row>
        <row r="857">
          <cell r="A857" t="str">
            <v>KBMS-17H01-A (120 V)</v>
          </cell>
          <cell r="B857">
            <v>5.95</v>
          </cell>
          <cell r="C857">
            <v>5.45</v>
          </cell>
          <cell r="D857">
            <v>2.08</v>
          </cell>
          <cell r="E857">
            <v>1.65</v>
          </cell>
          <cell r="H857">
            <v>1.909859317102744</v>
          </cell>
          <cell r="I857">
            <v>750</v>
          </cell>
          <cell r="P857">
            <v>1460</v>
          </cell>
          <cell r="Q857">
            <v>8.6199999999999999E-2</v>
          </cell>
          <cell r="R857">
            <v>21.3</v>
          </cell>
          <cell r="S857">
            <v>66</v>
          </cell>
          <cell r="T857">
            <v>77.900000000000006</v>
          </cell>
          <cell r="U857">
            <v>10</v>
          </cell>
        </row>
        <row r="858">
          <cell r="A858" t="str">
            <v>KBMS-17H01-A (240 V)</v>
          </cell>
          <cell r="B858">
            <v>5.95</v>
          </cell>
          <cell r="C858">
            <v>5.45</v>
          </cell>
          <cell r="D858">
            <v>2.08</v>
          </cell>
          <cell r="E858">
            <v>1.65</v>
          </cell>
          <cell r="J858">
            <v>1.8853739412424524</v>
          </cell>
          <cell r="K858">
            <v>1950</v>
          </cell>
          <cell r="P858">
            <v>3068</v>
          </cell>
          <cell r="Q858">
            <v>8.6199999999999999E-2</v>
          </cell>
          <cell r="R858">
            <v>21.3</v>
          </cell>
          <cell r="S858">
            <v>66</v>
          </cell>
          <cell r="T858">
            <v>77.900000000000006</v>
          </cell>
          <cell r="U858">
            <v>10</v>
          </cell>
        </row>
        <row r="859">
          <cell r="A859" t="str">
            <v>KBMS-17H01-A (400 V)</v>
          </cell>
          <cell r="B859">
            <v>5.95</v>
          </cell>
          <cell r="C859">
            <v>5.45</v>
          </cell>
          <cell r="D859">
            <v>2.08</v>
          </cell>
          <cell r="E859">
            <v>1.65</v>
          </cell>
          <cell r="L859">
            <v>1.7590809499630535</v>
          </cell>
          <cell r="M859">
            <v>3800</v>
          </cell>
          <cell r="P859">
            <v>5132</v>
          </cell>
          <cell r="Q859">
            <v>8.6199999999999999E-2</v>
          </cell>
          <cell r="R859">
            <v>21.3</v>
          </cell>
          <cell r="S859">
            <v>66</v>
          </cell>
          <cell r="T859">
            <v>77.900000000000006</v>
          </cell>
          <cell r="U859">
            <v>10</v>
          </cell>
        </row>
        <row r="860">
          <cell r="A860" t="str">
            <v>KBMS-17H01-A (480 V)</v>
          </cell>
          <cell r="B860">
            <v>5.95</v>
          </cell>
          <cell r="C860">
            <v>5.45</v>
          </cell>
          <cell r="D860">
            <v>2.08</v>
          </cell>
          <cell r="E860">
            <v>1.65</v>
          </cell>
          <cell r="N860">
            <v>1.6634258568314222</v>
          </cell>
          <cell r="O860">
            <v>4650</v>
          </cell>
          <cell r="P860">
            <v>6166</v>
          </cell>
          <cell r="Q860">
            <v>8.6199999999999999E-2</v>
          </cell>
          <cell r="R860">
            <v>21.3</v>
          </cell>
          <cell r="S860">
            <v>66</v>
          </cell>
          <cell r="T860">
            <v>77.900000000000006</v>
          </cell>
          <cell r="U860">
            <v>10</v>
          </cell>
        </row>
        <row r="861">
          <cell r="A861" t="str">
            <v>KBMS-17H01-B (120 V)</v>
          </cell>
          <cell r="B861">
            <v>6.14</v>
          </cell>
          <cell r="C861">
            <v>10.9</v>
          </cell>
          <cell r="D861">
            <v>2.0699999999999998</v>
          </cell>
          <cell r="E861">
            <v>3.11</v>
          </cell>
          <cell r="H861">
            <v>1.8568076694054458</v>
          </cell>
          <cell r="I861">
            <v>1800</v>
          </cell>
          <cell r="P861">
            <v>2782</v>
          </cell>
          <cell r="Q861">
            <v>8.6199999999999999E-2</v>
          </cell>
          <cell r="R861">
            <v>6.02</v>
          </cell>
          <cell r="S861">
            <v>18</v>
          </cell>
          <cell r="T861">
            <v>41.2</v>
          </cell>
          <cell r="U861">
            <v>10</v>
          </cell>
        </row>
        <row r="862">
          <cell r="A862" t="str">
            <v>KBMS-17H01-B (240 V)</v>
          </cell>
          <cell r="B862">
            <v>6.14</v>
          </cell>
          <cell r="C862">
            <v>10.9</v>
          </cell>
          <cell r="D862">
            <v>2.0699999999999998</v>
          </cell>
          <cell r="E862">
            <v>3.11</v>
          </cell>
          <cell r="J862">
            <v>1.7052315331274501</v>
          </cell>
          <cell r="K862">
            <v>4200</v>
          </cell>
          <cell r="P862">
            <v>5838</v>
          </cell>
          <cell r="Q862">
            <v>8.6199999999999999E-2</v>
          </cell>
          <cell r="R862">
            <v>6.02</v>
          </cell>
          <cell r="S862">
            <v>18</v>
          </cell>
          <cell r="T862">
            <v>41.2</v>
          </cell>
          <cell r="U862">
            <v>10</v>
          </cell>
        </row>
        <row r="863">
          <cell r="A863" t="str">
            <v>KBMS-17H01-B (400 V)</v>
          </cell>
          <cell r="B863">
            <v>6.14</v>
          </cell>
          <cell r="C863">
            <v>10.9</v>
          </cell>
          <cell r="D863">
            <v>2.0699999999999998</v>
          </cell>
          <cell r="E863">
            <v>3.11</v>
          </cell>
          <cell r="L863">
            <v>1.0653261508694498</v>
          </cell>
          <cell r="M863">
            <v>8650</v>
          </cell>
          <cell r="P863">
            <v>9600</v>
          </cell>
          <cell r="Q863">
            <v>8.6199999999999999E-2</v>
          </cell>
          <cell r="R863">
            <v>6.02</v>
          </cell>
          <cell r="S863">
            <v>18</v>
          </cell>
          <cell r="T863">
            <v>41.2</v>
          </cell>
          <cell r="U863">
            <v>10</v>
          </cell>
        </row>
        <row r="864">
          <cell r="A864" t="str">
            <v>KBMS-17H01-B (480 V)</v>
          </cell>
          <cell r="B864">
            <v>6.14</v>
          </cell>
          <cell r="C864">
            <v>10.9</v>
          </cell>
          <cell r="D864">
            <v>2.0699999999999998</v>
          </cell>
          <cell r="E864">
            <v>3.11</v>
          </cell>
          <cell r="N864">
            <v>0.71619724391352901</v>
          </cell>
          <cell r="O864">
            <v>9600</v>
          </cell>
          <cell r="P864">
            <v>9600</v>
          </cell>
          <cell r="Q864">
            <v>8.6199999999999999E-2</v>
          </cell>
          <cell r="R864">
            <v>6.02</v>
          </cell>
          <cell r="S864">
            <v>18</v>
          </cell>
          <cell r="T864">
            <v>41.2</v>
          </cell>
          <cell r="U864">
            <v>10</v>
          </cell>
        </row>
        <row r="865">
          <cell r="A865" t="str">
            <v>KBMS-17H01-C (120 V)</v>
          </cell>
          <cell r="B865">
            <v>6.35</v>
          </cell>
          <cell r="C865">
            <v>21.8</v>
          </cell>
          <cell r="D865">
            <v>2.0699999999999998</v>
          </cell>
          <cell r="E865">
            <v>6.1</v>
          </cell>
          <cell r="H865">
            <v>1.7384616860807027</v>
          </cell>
          <cell r="I865">
            <v>3900</v>
          </cell>
          <cell r="P865">
            <v>5468</v>
          </cell>
          <cell r="Q865">
            <v>8.6199999999999999E-2</v>
          </cell>
          <cell r="R865">
            <v>1.56</v>
          </cell>
          <cell r="S865">
            <v>5</v>
          </cell>
          <cell r="T865">
            <v>21.5</v>
          </cell>
          <cell r="U865">
            <v>10</v>
          </cell>
        </row>
        <row r="866">
          <cell r="A866" t="str">
            <v>KBMS-17H01-C (240 V)</v>
          </cell>
          <cell r="B866">
            <v>6.35</v>
          </cell>
          <cell r="C866">
            <v>21.8</v>
          </cell>
          <cell r="D866">
            <v>2.0699999999999998</v>
          </cell>
          <cell r="E866">
            <v>6.1</v>
          </cell>
          <cell r="J866">
            <v>0.90187801085407349</v>
          </cell>
          <cell r="K866">
            <v>9000</v>
          </cell>
          <cell r="P866">
            <v>9600</v>
          </cell>
          <cell r="Q866">
            <v>8.6199999999999999E-2</v>
          </cell>
          <cell r="R866">
            <v>1.56</v>
          </cell>
          <cell r="S866">
            <v>5</v>
          </cell>
          <cell r="T866">
            <v>21.5</v>
          </cell>
          <cell r="U866">
            <v>10</v>
          </cell>
        </row>
        <row r="867">
          <cell r="A867" t="str">
            <v>KBMS-17H02-A (120 V)</v>
          </cell>
          <cell r="B867">
            <v>12.2</v>
          </cell>
          <cell r="C867">
            <v>6.08</v>
          </cell>
          <cell r="D867">
            <v>3.58</v>
          </cell>
          <cell r="E867">
            <v>1.59</v>
          </cell>
          <cell r="H867">
            <v>3.3104228163114229</v>
          </cell>
          <cell r="I867">
            <v>375</v>
          </cell>
          <cell r="P867">
            <v>812</v>
          </cell>
          <cell r="Q867">
            <v>0.128</v>
          </cell>
          <cell r="R867">
            <v>27.5</v>
          </cell>
          <cell r="S867">
            <v>97</v>
          </cell>
          <cell r="T867">
            <v>140</v>
          </cell>
          <cell r="U867">
            <v>10</v>
          </cell>
        </row>
        <row r="868">
          <cell r="A868" t="str">
            <v>KBMS-17H02-A (240 V)</v>
          </cell>
          <cell r="B868">
            <v>12.2</v>
          </cell>
          <cell r="C868">
            <v>6.08</v>
          </cell>
          <cell r="D868">
            <v>3.58</v>
          </cell>
          <cell r="E868">
            <v>1.59</v>
          </cell>
          <cell r="J868">
            <v>3.2293984816464585</v>
          </cell>
          <cell r="K868">
            <v>1100</v>
          </cell>
          <cell r="P868">
            <v>1710</v>
          </cell>
          <cell r="Q868">
            <v>0.128</v>
          </cell>
          <cell r="R868">
            <v>27.5</v>
          </cell>
          <cell r="S868">
            <v>97</v>
          </cell>
          <cell r="T868">
            <v>140</v>
          </cell>
          <cell r="U868">
            <v>10</v>
          </cell>
        </row>
        <row r="869">
          <cell r="A869" t="str">
            <v>KBMS-17H02-A (400 V)</v>
          </cell>
          <cell r="B869">
            <v>12.2</v>
          </cell>
          <cell r="C869">
            <v>6.08</v>
          </cell>
          <cell r="D869">
            <v>3.58</v>
          </cell>
          <cell r="E869">
            <v>1.59</v>
          </cell>
          <cell r="L869">
            <v>3.1376260209545084</v>
          </cell>
          <cell r="M869">
            <v>2100</v>
          </cell>
          <cell r="P869">
            <v>2861</v>
          </cell>
          <cell r="Q869">
            <v>0.128</v>
          </cell>
          <cell r="R869">
            <v>27.5</v>
          </cell>
          <cell r="S869">
            <v>97</v>
          </cell>
          <cell r="T869">
            <v>140</v>
          </cell>
          <cell r="U869">
            <v>10</v>
          </cell>
        </row>
        <row r="870">
          <cell r="A870" t="str">
            <v>KBMS-17H02-A (480 V)</v>
          </cell>
          <cell r="B870">
            <v>12.2</v>
          </cell>
          <cell r="C870">
            <v>6.08</v>
          </cell>
          <cell r="D870">
            <v>3.58</v>
          </cell>
          <cell r="E870">
            <v>1.59</v>
          </cell>
          <cell r="N870">
            <v>3.0667933265015219</v>
          </cell>
          <cell r="O870">
            <v>2600</v>
          </cell>
          <cell r="P870">
            <v>3438</v>
          </cell>
          <cell r="Q870">
            <v>0.128</v>
          </cell>
          <cell r="R870">
            <v>27.5</v>
          </cell>
          <cell r="S870">
            <v>97</v>
          </cell>
          <cell r="T870">
            <v>140</v>
          </cell>
          <cell r="U870">
            <v>10</v>
          </cell>
        </row>
        <row r="871">
          <cell r="A871" t="str">
            <v>KBMS-17H02-B (120 V)</v>
          </cell>
          <cell r="B871">
            <v>12.3</v>
          </cell>
          <cell r="C871">
            <v>12.2</v>
          </cell>
          <cell r="D871">
            <v>3.52</v>
          </cell>
          <cell r="E871">
            <v>2.99</v>
          </cell>
          <cell r="H871">
            <v>3.246760839074665</v>
          </cell>
          <cell r="I871">
            <v>1000</v>
          </cell>
          <cell r="P871">
            <v>1565</v>
          </cell>
          <cell r="Q871">
            <v>0.128</v>
          </cell>
          <cell r="R871">
            <v>7.78</v>
          </cell>
          <cell r="S871">
            <v>27</v>
          </cell>
          <cell r="T871">
            <v>72.8</v>
          </cell>
          <cell r="U871">
            <v>10</v>
          </cell>
        </row>
        <row r="872">
          <cell r="A872" t="str">
            <v>KBMS-17H02-B (240 V)</v>
          </cell>
          <cell r="B872">
            <v>12.3</v>
          </cell>
          <cell r="C872">
            <v>12.2</v>
          </cell>
          <cell r="D872">
            <v>3.52</v>
          </cell>
          <cell r="E872">
            <v>2.99</v>
          </cell>
          <cell r="J872">
            <v>3.0516230392837325</v>
          </cell>
          <cell r="K872">
            <v>2300</v>
          </cell>
          <cell r="P872">
            <v>3285</v>
          </cell>
          <cell r="Q872">
            <v>0.128</v>
          </cell>
          <cell r="R872">
            <v>7.78</v>
          </cell>
          <cell r="S872">
            <v>27</v>
          </cell>
          <cell r="T872">
            <v>72.8</v>
          </cell>
          <cell r="U872">
            <v>10</v>
          </cell>
        </row>
        <row r="873">
          <cell r="A873" t="str">
            <v>KBMS-17H02-B (400 V)</v>
          </cell>
          <cell r="B873">
            <v>12.3</v>
          </cell>
          <cell r="C873">
            <v>12.2</v>
          </cell>
          <cell r="D873">
            <v>3.52</v>
          </cell>
          <cell r="E873">
            <v>2.99</v>
          </cell>
          <cell r="L873">
            <v>2.6043536142310146</v>
          </cell>
          <cell r="M873">
            <v>4400</v>
          </cell>
          <cell r="P873">
            <v>5495</v>
          </cell>
          <cell r="Q873">
            <v>0.128</v>
          </cell>
          <cell r="R873">
            <v>7.78</v>
          </cell>
          <cell r="S873">
            <v>27</v>
          </cell>
          <cell r="T873">
            <v>72.8</v>
          </cell>
          <cell r="U873">
            <v>10</v>
          </cell>
        </row>
        <row r="874">
          <cell r="A874" t="str">
            <v>KBMS-17H02-B (480 V)</v>
          </cell>
          <cell r="B874">
            <v>12.3</v>
          </cell>
          <cell r="C874">
            <v>12.2</v>
          </cell>
          <cell r="D874">
            <v>3.52</v>
          </cell>
          <cell r="E874">
            <v>2.99</v>
          </cell>
          <cell r="N874">
            <v>2.2252489291013626</v>
          </cell>
          <cell r="O874">
            <v>5450</v>
          </cell>
          <cell r="P874">
            <v>6602</v>
          </cell>
          <cell r="Q874">
            <v>0.128</v>
          </cell>
          <cell r="R874">
            <v>7.78</v>
          </cell>
          <cell r="S874">
            <v>27</v>
          </cell>
          <cell r="T874">
            <v>72.8</v>
          </cell>
          <cell r="U874">
            <v>10</v>
          </cell>
        </row>
        <row r="875">
          <cell r="A875" t="str">
            <v>KBMS-17H02-C (120 V)</v>
          </cell>
          <cell r="B875">
            <v>12.7</v>
          </cell>
          <cell r="C875">
            <v>21.9</v>
          </cell>
          <cell r="D875">
            <v>3.64</v>
          </cell>
          <cell r="E875">
            <v>5.27</v>
          </cell>
          <cell r="H875">
            <v>3.2166051656467265</v>
          </cell>
          <cell r="I875">
            <v>1900</v>
          </cell>
          <cell r="P875">
            <v>2797</v>
          </cell>
          <cell r="Q875">
            <v>0.128</v>
          </cell>
          <cell r="R875">
            <v>2.5099999999999998</v>
          </cell>
          <cell r="S875">
            <v>9.1999999999999993</v>
          </cell>
          <cell r="T875">
            <v>43</v>
          </cell>
          <cell r="U875">
            <v>10</v>
          </cell>
        </row>
        <row r="876">
          <cell r="A876" t="str">
            <v>KBMS-17H02-C (240 V)</v>
          </cell>
          <cell r="B876">
            <v>12.7</v>
          </cell>
          <cell r="C876">
            <v>21.9</v>
          </cell>
          <cell r="D876">
            <v>3.64</v>
          </cell>
          <cell r="E876">
            <v>5.27</v>
          </cell>
          <cell r="J876">
            <v>2.6891697281044387</v>
          </cell>
          <cell r="K876">
            <v>4350</v>
          </cell>
          <cell r="P876">
            <v>5622</v>
          </cell>
          <cell r="Q876">
            <v>0.128</v>
          </cell>
          <cell r="R876">
            <v>2.5099999999999998</v>
          </cell>
          <cell r="S876">
            <v>9.1999999999999993</v>
          </cell>
          <cell r="T876">
            <v>43</v>
          </cell>
          <cell r="U876">
            <v>10</v>
          </cell>
        </row>
        <row r="877">
          <cell r="A877" t="str">
            <v>KBMS-17H02-C (400 V)</v>
          </cell>
          <cell r="B877">
            <v>12.7</v>
          </cell>
          <cell r="C877">
            <v>21.9</v>
          </cell>
          <cell r="D877">
            <v>3.64</v>
          </cell>
          <cell r="E877">
            <v>5.27</v>
          </cell>
          <cell r="L877">
            <v>0.99787623049680418</v>
          </cell>
          <cell r="M877">
            <v>7560</v>
          </cell>
          <cell r="P877">
            <v>9375</v>
          </cell>
          <cell r="Q877">
            <v>0.128</v>
          </cell>
          <cell r="R877">
            <v>2.5099999999999998</v>
          </cell>
          <cell r="S877">
            <v>9.1999999999999993</v>
          </cell>
          <cell r="T877">
            <v>43</v>
          </cell>
          <cell r="U877">
            <v>10</v>
          </cell>
        </row>
        <row r="878">
          <cell r="A878" t="str">
            <v>KBMS-17H02-D (120 V)</v>
          </cell>
          <cell r="B878">
            <v>12.8</v>
          </cell>
          <cell r="C878">
            <v>24.5</v>
          </cell>
          <cell r="D878">
            <v>3.58</v>
          </cell>
          <cell r="E878">
            <v>6.5</v>
          </cell>
          <cell r="H878">
            <v>3.083627022405472</v>
          </cell>
          <cell r="I878">
            <v>2400</v>
          </cell>
          <cell r="P878">
            <v>3365</v>
          </cell>
          <cell r="Q878">
            <v>0.128</v>
          </cell>
          <cell r="R878">
            <v>1.65</v>
          </cell>
          <cell r="S878">
            <v>3.1</v>
          </cell>
          <cell r="T878">
            <v>34.200000000000003</v>
          </cell>
          <cell r="U878">
            <v>10</v>
          </cell>
        </row>
        <row r="879">
          <cell r="A879" t="str">
            <v>KBMS-17H02-D (240 V)</v>
          </cell>
          <cell r="B879">
            <v>12.8</v>
          </cell>
          <cell r="C879">
            <v>24.5</v>
          </cell>
          <cell r="D879">
            <v>3.58</v>
          </cell>
          <cell r="E879">
            <v>6.5</v>
          </cell>
          <cell r="J879">
            <v>2.1997486777344109</v>
          </cell>
          <cell r="K879">
            <v>5600</v>
          </cell>
          <cell r="P879">
            <v>7054</v>
          </cell>
          <cell r="Q879">
            <v>0.128</v>
          </cell>
          <cell r="R879">
            <v>1.65</v>
          </cell>
          <cell r="S879">
            <v>3.1</v>
          </cell>
          <cell r="T879">
            <v>34.200000000000003</v>
          </cell>
          <cell r="U879">
            <v>10</v>
          </cell>
        </row>
        <row r="880">
          <cell r="A880" t="str">
            <v>KBMS-17H02-E (120 V)</v>
          </cell>
          <cell r="B880">
            <v>12.9</v>
          </cell>
          <cell r="C880">
            <v>39</v>
          </cell>
          <cell r="D880">
            <v>3.75</v>
          </cell>
          <cell r="E880">
            <v>9.33</v>
          </cell>
          <cell r="H880">
            <v>3.0012074983043124</v>
          </cell>
          <cell r="I880">
            <v>3500</v>
          </cell>
          <cell r="P880">
            <v>4633</v>
          </cell>
          <cell r="Q880">
            <v>0.128</v>
          </cell>
          <cell r="R880">
            <v>0.8</v>
          </cell>
          <cell r="S880">
            <v>3.1</v>
          </cell>
          <cell r="T880">
            <v>24.8</v>
          </cell>
          <cell r="U880">
            <v>10</v>
          </cell>
        </row>
        <row r="881">
          <cell r="A881" t="str">
            <v>KBMS-17H02-E (240 V)</v>
          </cell>
          <cell r="B881">
            <v>12.9</v>
          </cell>
          <cell r="C881">
            <v>39</v>
          </cell>
          <cell r="D881">
            <v>3.75</v>
          </cell>
          <cell r="E881">
            <v>9.33</v>
          </cell>
          <cell r="J881">
            <v>1.1013522061959158</v>
          </cell>
          <cell r="K881">
            <v>7500</v>
          </cell>
          <cell r="P881">
            <v>9600</v>
          </cell>
          <cell r="Q881">
            <v>0.128</v>
          </cell>
          <cell r="R881">
            <v>0.8</v>
          </cell>
          <cell r="S881">
            <v>3.1</v>
          </cell>
          <cell r="T881">
            <v>24.8</v>
          </cell>
          <cell r="U881">
            <v>10</v>
          </cell>
        </row>
        <row r="882">
          <cell r="A882" t="str">
            <v>KBMS-17H03-A (120 V)</v>
          </cell>
          <cell r="B882">
            <v>18.5</v>
          </cell>
          <cell r="C882">
            <v>13.8</v>
          </cell>
          <cell r="D882">
            <v>4.88</v>
          </cell>
          <cell r="E882">
            <v>3</v>
          </cell>
          <cell r="H882">
            <v>4.5018112474564687</v>
          </cell>
          <cell r="I882">
            <v>700</v>
          </cell>
          <cell r="P882">
            <v>1136</v>
          </cell>
          <cell r="Q882">
            <v>0.17499999999999999</v>
          </cell>
          <cell r="R882">
            <v>8.61</v>
          </cell>
          <cell r="S882">
            <v>33</v>
          </cell>
          <cell r="T882">
            <v>100</v>
          </cell>
          <cell r="U882">
            <v>10</v>
          </cell>
        </row>
        <row r="883">
          <cell r="A883" t="str">
            <v>KBMS-17H03-A (240 V)</v>
          </cell>
          <cell r="B883">
            <v>18.5</v>
          </cell>
          <cell r="C883">
            <v>13.8</v>
          </cell>
          <cell r="D883">
            <v>4.88</v>
          </cell>
          <cell r="E883">
            <v>3</v>
          </cell>
          <cell r="J883">
            <v>4.2971834634811747</v>
          </cell>
          <cell r="K883">
            <v>1700</v>
          </cell>
          <cell r="P883">
            <v>2389</v>
          </cell>
          <cell r="Q883">
            <v>0.17499999999999999</v>
          </cell>
          <cell r="R883">
            <v>8.61</v>
          </cell>
          <cell r="S883">
            <v>33</v>
          </cell>
          <cell r="T883">
            <v>100</v>
          </cell>
          <cell r="U883">
            <v>10</v>
          </cell>
        </row>
        <row r="884">
          <cell r="A884" t="str">
            <v>KBMS-17H03-A (400 V)</v>
          </cell>
          <cell r="B884">
            <v>18.5</v>
          </cell>
          <cell r="C884">
            <v>13.8</v>
          </cell>
          <cell r="D884">
            <v>4.88</v>
          </cell>
          <cell r="E884">
            <v>3</v>
          </cell>
          <cell r="L884">
            <v>3.5950293027816365</v>
          </cell>
          <cell r="M884">
            <v>3400</v>
          </cell>
          <cell r="P884">
            <v>3997</v>
          </cell>
          <cell r="Q884">
            <v>0.17499999999999999</v>
          </cell>
          <cell r="R884">
            <v>8.61</v>
          </cell>
          <cell r="S884">
            <v>33</v>
          </cell>
          <cell r="T884">
            <v>100</v>
          </cell>
          <cell r="U884">
            <v>10</v>
          </cell>
        </row>
        <row r="885">
          <cell r="A885" t="str">
            <v>KBMS-17H03-A (480 V)</v>
          </cell>
          <cell r="B885">
            <v>18.5</v>
          </cell>
          <cell r="C885">
            <v>13.8</v>
          </cell>
          <cell r="D885">
            <v>4.88</v>
          </cell>
          <cell r="E885">
            <v>3</v>
          </cell>
          <cell r="N885">
            <v>3.4812625526936092</v>
          </cell>
          <cell r="O885">
            <v>3950</v>
          </cell>
          <cell r="P885">
            <v>4803</v>
          </cell>
          <cell r="Q885">
            <v>0.17499999999999999</v>
          </cell>
          <cell r="R885">
            <v>8.61</v>
          </cell>
          <cell r="S885">
            <v>33</v>
          </cell>
          <cell r="T885">
            <v>100</v>
          </cell>
          <cell r="U885">
            <v>10</v>
          </cell>
        </row>
        <row r="886">
          <cell r="A886" t="str">
            <v>KBMS-17H03-B (120 V)</v>
          </cell>
          <cell r="B886">
            <v>18.8</v>
          </cell>
          <cell r="C886">
            <v>24.4</v>
          </cell>
          <cell r="D886">
            <v>4.8899999999999997</v>
          </cell>
          <cell r="E886">
            <v>5.32</v>
          </cell>
          <cell r="H886">
            <v>4.3653927248062727</v>
          </cell>
          <cell r="I886">
            <v>1400</v>
          </cell>
          <cell r="P886">
            <v>1998</v>
          </cell>
          <cell r="Q886">
            <v>0.17499999999999999</v>
          </cell>
          <cell r="R886">
            <v>2.81</v>
          </cell>
          <cell r="S886">
            <v>11</v>
          </cell>
          <cell r="T886">
            <v>57</v>
          </cell>
          <cell r="U886">
            <v>10</v>
          </cell>
        </row>
        <row r="887">
          <cell r="A887" t="str">
            <v>KBMS-17H03-B (240 V)</v>
          </cell>
          <cell r="B887">
            <v>18.8</v>
          </cell>
          <cell r="C887">
            <v>24.4</v>
          </cell>
          <cell r="D887">
            <v>4.8899999999999997</v>
          </cell>
          <cell r="E887">
            <v>5.32</v>
          </cell>
          <cell r="J887">
            <v>3.8500338614610872</v>
          </cell>
          <cell r="K887">
            <v>3150</v>
          </cell>
          <cell r="P887">
            <v>4194</v>
          </cell>
          <cell r="Q887">
            <v>0.17499999999999999</v>
          </cell>
          <cell r="R887">
            <v>2.81</v>
          </cell>
          <cell r="S887">
            <v>11</v>
          </cell>
          <cell r="T887">
            <v>57</v>
          </cell>
          <cell r="U887">
            <v>10</v>
          </cell>
        </row>
        <row r="888">
          <cell r="A888" t="str">
            <v>KBMS-17H03-B (400 V)</v>
          </cell>
          <cell r="B888">
            <v>18.8</v>
          </cell>
          <cell r="C888">
            <v>24.4</v>
          </cell>
          <cell r="D888">
            <v>4.8899999999999997</v>
          </cell>
          <cell r="E888">
            <v>5.32</v>
          </cell>
          <cell r="L888">
            <v>1.8011681364546206</v>
          </cell>
          <cell r="M888">
            <v>6150</v>
          </cell>
          <cell r="P888">
            <v>7006</v>
          </cell>
          <cell r="Q888">
            <v>0.17499999999999999</v>
          </cell>
          <cell r="R888">
            <v>2.81</v>
          </cell>
          <cell r="S888">
            <v>11</v>
          </cell>
          <cell r="T888">
            <v>57</v>
          </cell>
          <cell r="U888">
            <v>10</v>
          </cell>
        </row>
        <row r="889">
          <cell r="A889" t="str">
            <v>KBMS-17H03-C (120 V)</v>
          </cell>
          <cell r="B889">
            <v>18.8</v>
          </cell>
          <cell r="C889">
            <v>27.2</v>
          </cell>
          <cell r="D889">
            <v>5.05</v>
          </cell>
          <cell r="E889">
            <v>6.14</v>
          </cell>
          <cell r="H889">
            <v>4.4762327744595565</v>
          </cell>
          <cell r="I889">
            <v>1600</v>
          </cell>
          <cell r="P889">
            <v>2239</v>
          </cell>
          <cell r="Q889">
            <v>0.17499999999999999</v>
          </cell>
          <cell r="R889">
            <v>2.1</v>
          </cell>
          <cell r="S889">
            <v>8.8000000000000007</v>
          </cell>
          <cell r="T889">
            <v>51.34</v>
          </cell>
          <cell r="U889">
            <v>10</v>
          </cell>
        </row>
        <row r="890">
          <cell r="A890" t="str">
            <v>KBMS-17H03-C (240 V)</v>
          </cell>
          <cell r="B890">
            <v>18.8</v>
          </cell>
          <cell r="C890">
            <v>27.2</v>
          </cell>
          <cell r="D890">
            <v>5.05</v>
          </cell>
          <cell r="E890">
            <v>6.14</v>
          </cell>
          <cell r="J890">
            <v>3.8063629746453294</v>
          </cell>
          <cell r="K890">
            <v>3575</v>
          </cell>
          <cell r="P890">
            <v>4700</v>
          </cell>
          <cell r="Q890">
            <v>0.17499999999999999</v>
          </cell>
          <cell r="R890">
            <v>2.1</v>
          </cell>
          <cell r="S890">
            <v>8.8000000000000007</v>
          </cell>
          <cell r="T890">
            <v>51.34</v>
          </cell>
          <cell r="U890">
            <v>10</v>
          </cell>
        </row>
        <row r="891">
          <cell r="A891" t="str">
            <v>KBMS-17H03-C (400 V)</v>
          </cell>
          <cell r="B891">
            <v>18.8</v>
          </cell>
          <cell r="C891">
            <v>27.2</v>
          </cell>
          <cell r="D891">
            <v>5.05</v>
          </cell>
          <cell r="E891">
            <v>6.14</v>
          </cell>
          <cell r="L891">
            <v>1.429447174066097</v>
          </cell>
          <cell r="M891">
            <v>6480</v>
          </cell>
          <cell r="P891">
            <v>7200</v>
          </cell>
          <cell r="Q891">
            <v>0.17499999999999999</v>
          </cell>
          <cell r="R891">
            <v>2.1</v>
          </cell>
          <cell r="S891">
            <v>8.8000000000000007</v>
          </cell>
          <cell r="T891">
            <v>51.34</v>
          </cell>
          <cell r="U891">
            <v>10</v>
          </cell>
        </row>
        <row r="892">
          <cell r="A892" t="str">
            <v>KBMS-17H03-D (120 V)</v>
          </cell>
          <cell r="B892">
            <v>19</v>
          </cell>
          <cell r="C892">
            <v>48</v>
          </cell>
          <cell r="D892">
            <v>5</v>
          </cell>
          <cell r="E892">
            <v>10.38</v>
          </cell>
          <cell r="H892">
            <v>4.0139416156057672</v>
          </cell>
          <cell r="I892">
            <v>2950</v>
          </cell>
          <cell r="P892">
            <v>3838</v>
          </cell>
          <cell r="Q892">
            <v>0.17499999999999999</v>
          </cell>
          <cell r="R892">
            <v>0.74</v>
          </cell>
          <cell r="S892">
            <v>2.9</v>
          </cell>
          <cell r="T892">
            <v>30</v>
          </cell>
          <cell r="U892">
            <v>10</v>
          </cell>
        </row>
        <row r="893">
          <cell r="A893" t="str">
            <v>KBMS-17H03-D (240 V)</v>
          </cell>
          <cell r="B893">
            <v>19</v>
          </cell>
          <cell r="C893">
            <v>48</v>
          </cell>
          <cell r="D893">
            <v>5</v>
          </cell>
          <cell r="E893">
            <v>10.38</v>
          </cell>
          <cell r="J893">
            <v>1.4103576495527956</v>
          </cell>
          <cell r="K893">
            <v>6500</v>
          </cell>
          <cell r="P893">
            <v>8030</v>
          </cell>
          <cell r="Q893">
            <v>0.17499999999999999</v>
          </cell>
          <cell r="R893">
            <v>0.74</v>
          </cell>
          <cell r="S893">
            <v>2.9</v>
          </cell>
          <cell r="T893">
            <v>30</v>
          </cell>
          <cell r="U893">
            <v>10</v>
          </cell>
        </row>
        <row r="894">
          <cell r="A894" t="str">
            <v>KBMS-17H04-A (120 V)</v>
          </cell>
          <cell r="B894">
            <v>23.7</v>
          </cell>
          <cell r="C894">
            <v>14.5</v>
          </cell>
          <cell r="D894">
            <v>5.98</v>
          </cell>
          <cell r="E894">
            <v>3.15</v>
          </cell>
          <cell r="H894">
            <v>5.4908455366703892</v>
          </cell>
          <cell r="I894">
            <v>600</v>
          </cell>
          <cell r="P894">
            <v>960</v>
          </cell>
          <cell r="Q894">
            <v>0.24000000000000002</v>
          </cell>
          <cell r="R894">
            <v>8.64</v>
          </cell>
          <cell r="S894">
            <v>34</v>
          </cell>
          <cell r="T894">
            <v>118</v>
          </cell>
          <cell r="U894">
            <v>10</v>
          </cell>
        </row>
        <row r="895">
          <cell r="A895" t="str">
            <v>KBMS-17H04-A (240 V)</v>
          </cell>
          <cell r="B895">
            <v>23.7</v>
          </cell>
          <cell r="C895">
            <v>14.5</v>
          </cell>
          <cell r="D895">
            <v>5.98</v>
          </cell>
          <cell r="E895">
            <v>3.15</v>
          </cell>
          <cell r="J895">
            <v>5.2862177526950962</v>
          </cell>
          <cell r="K895">
            <v>1400</v>
          </cell>
          <cell r="P895">
            <v>2018</v>
          </cell>
          <cell r="Q895">
            <v>0.24000000000000002</v>
          </cell>
          <cell r="R895">
            <v>8.64</v>
          </cell>
          <cell r="S895">
            <v>34</v>
          </cell>
          <cell r="T895">
            <v>118</v>
          </cell>
          <cell r="U895">
            <v>10</v>
          </cell>
        </row>
        <row r="896">
          <cell r="A896" t="str">
            <v>KBMS-17H04-A (400 V)</v>
          </cell>
          <cell r="B896">
            <v>23.7</v>
          </cell>
          <cell r="C896">
            <v>14.5</v>
          </cell>
          <cell r="D896">
            <v>5.98</v>
          </cell>
          <cell r="E896">
            <v>3.15</v>
          </cell>
          <cell r="L896">
            <v>4.703912762493796</v>
          </cell>
          <cell r="M896">
            <v>2700</v>
          </cell>
          <cell r="P896">
            <v>3377</v>
          </cell>
          <cell r="Q896">
            <v>0.24000000000000002</v>
          </cell>
          <cell r="R896">
            <v>8.64</v>
          </cell>
          <cell r="S896">
            <v>34</v>
          </cell>
          <cell r="T896">
            <v>118</v>
          </cell>
          <cell r="U896">
            <v>10</v>
          </cell>
        </row>
        <row r="897">
          <cell r="A897" t="str">
            <v>KBMS-17H04-A (480 V)</v>
          </cell>
          <cell r="B897">
            <v>23.7</v>
          </cell>
          <cell r="C897">
            <v>14.5</v>
          </cell>
          <cell r="D897">
            <v>5.98</v>
          </cell>
          <cell r="E897">
            <v>3.15</v>
          </cell>
          <cell r="N897">
            <v>4.332815167158464</v>
          </cell>
          <cell r="O897">
            <v>3350</v>
          </cell>
          <cell r="P897">
            <v>4058</v>
          </cell>
          <cell r="Q897">
            <v>0.24000000000000002</v>
          </cell>
          <cell r="R897">
            <v>8.64</v>
          </cell>
          <cell r="S897">
            <v>34</v>
          </cell>
          <cell r="T897">
            <v>118</v>
          </cell>
          <cell r="U897">
            <v>10</v>
          </cell>
        </row>
        <row r="898">
          <cell r="A898" t="str">
            <v>KBMS-17H04-B (120 V)</v>
          </cell>
          <cell r="B898">
            <v>23.7</v>
          </cell>
          <cell r="C898">
            <v>25</v>
          </cell>
          <cell r="D898">
            <v>6.12</v>
          </cell>
          <cell r="E898">
            <v>5.53</v>
          </cell>
          <cell r="H898">
            <v>5.4510568008974154</v>
          </cell>
          <cell r="I898">
            <v>1200</v>
          </cell>
          <cell r="P898">
            <v>1660</v>
          </cell>
          <cell r="Q898">
            <v>0.24000000000000002</v>
          </cell>
          <cell r="R898">
            <v>2.8</v>
          </cell>
          <cell r="S898">
            <v>12</v>
          </cell>
          <cell r="T898">
            <v>69.3</v>
          </cell>
          <cell r="U898">
            <v>10</v>
          </cell>
        </row>
        <row r="899">
          <cell r="A899" t="str">
            <v>KBMS-17H04-B (240 V)</v>
          </cell>
          <cell r="B899">
            <v>23.7</v>
          </cell>
          <cell r="C899">
            <v>25</v>
          </cell>
          <cell r="D899">
            <v>6.12</v>
          </cell>
          <cell r="E899">
            <v>5.53</v>
          </cell>
          <cell r="J899">
            <v>4.8647359963937822</v>
          </cell>
          <cell r="K899">
            <v>2650</v>
          </cell>
          <cell r="P899">
            <v>3485</v>
          </cell>
          <cell r="Q899">
            <v>0.24000000000000002</v>
          </cell>
          <cell r="R899">
            <v>2.8</v>
          </cell>
          <cell r="S899">
            <v>12</v>
          </cell>
          <cell r="T899">
            <v>69.3</v>
          </cell>
          <cell r="U899">
            <v>10</v>
          </cell>
        </row>
        <row r="900">
          <cell r="A900" t="str">
            <v>KBMS-17H04-B (400 V)</v>
          </cell>
          <cell r="B900">
            <v>23.7</v>
          </cell>
          <cell r="C900">
            <v>25</v>
          </cell>
          <cell r="D900">
            <v>6.12</v>
          </cell>
          <cell r="E900">
            <v>5.53</v>
          </cell>
          <cell r="L900">
            <v>2.902986161996171</v>
          </cell>
          <cell r="M900">
            <v>5000</v>
          </cell>
          <cell r="P900">
            <v>5822</v>
          </cell>
          <cell r="Q900">
            <v>0.24000000000000002</v>
          </cell>
          <cell r="R900">
            <v>2.8</v>
          </cell>
          <cell r="S900">
            <v>12</v>
          </cell>
          <cell r="T900">
            <v>69.3</v>
          </cell>
          <cell r="U900">
            <v>10</v>
          </cell>
        </row>
        <row r="901">
          <cell r="A901" t="str">
            <v>KBMS-17H04-B (480 V)</v>
          </cell>
          <cell r="B901">
            <v>23.7</v>
          </cell>
          <cell r="C901">
            <v>25</v>
          </cell>
          <cell r="D901">
            <v>6.12</v>
          </cell>
          <cell r="E901">
            <v>5.53</v>
          </cell>
          <cell r="N901">
            <v>1.8009638297240791</v>
          </cell>
          <cell r="O901">
            <v>5700</v>
          </cell>
          <cell r="P901">
            <v>6987</v>
          </cell>
          <cell r="Q901">
            <v>0.24000000000000002</v>
          </cell>
          <cell r="R901">
            <v>2.8</v>
          </cell>
          <cell r="S901">
            <v>12</v>
          </cell>
          <cell r="T901">
            <v>69.3</v>
          </cell>
          <cell r="U901">
            <v>10</v>
          </cell>
        </row>
        <row r="902">
          <cell r="A902" t="str">
            <v>KBMS-17H04-C (120 V)</v>
          </cell>
          <cell r="B902">
            <v>23.7</v>
          </cell>
          <cell r="C902">
            <v>28.1</v>
          </cell>
          <cell r="D902">
            <v>6.1</v>
          </cell>
          <cell r="E902">
            <v>6.2</v>
          </cell>
          <cell r="H902">
            <v>5.4052622182153129</v>
          </cell>
          <cell r="I902">
            <v>1325</v>
          </cell>
          <cell r="P902">
            <v>1868</v>
          </cell>
          <cell r="Q902">
            <v>0.24000000000000002</v>
          </cell>
          <cell r="R902">
            <v>2.23</v>
          </cell>
          <cell r="S902">
            <v>9.1</v>
          </cell>
          <cell r="T902">
            <v>61.4</v>
          </cell>
          <cell r="U902">
            <v>10</v>
          </cell>
        </row>
        <row r="903">
          <cell r="A903" t="str">
            <v>KBMS-17H04-C (240 V)</v>
          </cell>
          <cell r="B903">
            <v>23.7</v>
          </cell>
          <cell r="C903">
            <v>28.1</v>
          </cell>
          <cell r="D903">
            <v>6.1</v>
          </cell>
          <cell r="E903">
            <v>6.2</v>
          </cell>
          <cell r="J903">
            <v>4.6473243382833438</v>
          </cell>
          <cell r="K903">
            <v>3000</v>
          </cell>
          <cell r="P903">
            <v>3922</v>
          </cell>
          <cell r="Q903">
            <v>0.24000000000000002</v>
          </cell>
          <cell r="R903">
            <v>2.23</v>
          </cell>
          <cell r="S903">
            <v>9.1</v>
          </cell>
          <cell r="T903">
            <v>61.4</v>
          </cell>
          <cell r="U903">
            <v>10</v>
          </cell>
        </row>
        <row r="904">
          <cell r="A904" t="str">
            <v>KBMS-17H04-C (400 V)</v>
          </cell>
          <cell r="B904">
            <v>23.7</v>
          </cell>
          <cell r="C904">
            <v>28.1</v>
          </cell>
          <cell r="D904">
            <v>6.1</v>
          </cell>
          <cell r="E904">
            <v>6.2</v>
          </cell>
          <cell r="L904">
            <v>1.6122189040477708</v>
          </cell>
          <cell r="M904">
            <v>5775</v>
          </cell>
          <cell r="P904">
            <v>6548</v>
          </cell>
          <cell r="Q904">
            <v>0.24000000000000002</v>
          </cell>
          <cell r="R904">
            <v>2.23</v>
          </cell>
          <cell r="S904">
            <v>9.1</v>
          </cell>
          <cell r="T904">
            <v>61.4</v>
          </cell>
          <cell r="U904">
            <v>10</v>
          </cell>
        </row>
        <row r="905">
          <cell r="A905" t="str">
            <v>KBMS-17H04-D (120 V)</v>
          </cell>
          <cell r="B905">
            <v>24</v>
          </cell>
          <cell r="C905">
            <v>44</v>
          </cell>
          <cell r="D905">
            <v>6.07</v>
          </cell>
          <cell r="E905">
            <v>9.56</v>
          </cell>
          <cell r="H905">
            <v>5.5993602705966818</v>
          </cell>
          <cell r="I905">
            <v>2200</v>
          </cell>
          <cell r="P905">
            <v>2881</v>
          </cell>
          <cell r="Q905">
            <v>0.24000000000000002</v>
          </cell>
          <cell r="R905">
            <v>0.94</v>
          </cell>
          <cell r="S905">
            <v>3.8</v>
          </cell>
          <cell r="T905">
            <v>40</v>
          </cell>
          <cell r="U905">
            <v>10</v>
          </cell>
        </row>
        <row r="906">
          <cell r="A906" t="str">
            <v>KBMS-17H04-D (240 V)</v>
          </cell>
          <cell r="B906">
            <v>24</v>
          </cell>
          <cell r="C906">
            <v>44</v>
          </cell>
          <cell r="D906">
            <v>6.07</v>
          </cell>
          <cell r="E906">
            <v>9.56</v>
          </cell>
          <cell r="J906">
            <v>3.9629580829881941</v>
          </cell>
          <cell r="K906">
            <v>5000</v>
          </cell>
          <cell r="P906">
            <v>6037</v>
          </cell>
          <cell r="Q906">
            <v>0.24000000000000002</v>
          </cell>
          <cell r="R906">
            <v>0.94</v>
          </cell>
          <cell r="S906">
            <v>3.8</v>
          </cell>
          <cell r="T906">
            <v>40</v>
          </cell>
          <cell r="U906">
            <v>10</v>
          </cell>
        </row>
        <row r="907">
          <cell r="A907" t="str">
            <v>KBMS-25H01-A (120 V)</v>
          </cell>
          <cell r="B907">
            <v>14.37</v>
          </cell>
          <cell r="C907">
            <v>10.86</v>
          </cell>
          <cell r="D907">
            <v>4.9000000000000004</v>
          </cell>
          <cell r="E907">
            <v>3.1</v>
          </cell>
          <cell r="H907">
            <v>4.4336019861313707</v>
          </cell>
          <cell r="I907">
            <v>700</v>
          </cell>
          <cell r="P907">
            <v>1132</v>
          </cell>
          <cell r="Q907">
            <v>0.434</v>
          </cell>
          <cell r="R907">
            <v>8.98</v>
          </cell>
          <cell r="S907">
            <v>37</v>
          </cell>
          <cell r="T907">
            <v>100.3</v>
          </cell>
          <cell r="U907">
            <v>10</v>
          </cell>
        </row>
        <row r="908">
          <cell r="A908" t="str">
            <v>KBMS-25H01-A (240 V)</v>
          </cell>
          <cell r="B908">
            <v>14.37</v>
          </cell>
          <cell r="C908">
            <v>10.86</v>
          </cell>
          <cell r="D908">
            <v>4.9000000000000004</v>
          </cell>
          <cell r="E908">
            <v>3.1</v>
          </cell>
          <cell r="J908">
            <v>4.1090912580089336</v>
          </cell>
          <cell r="K908">
            <v>1650</v>
          </cell>
          <cell r="P908">
            <v>2379</v>
          </cell>
          <cell r="Q908">
            <v>0.434</v>
          </cell>
          <cell r="R908">
            <v>8.98</v>
          </cell>
          <cell r="S908">
            <v>37</v>
          </cell>
          <cell r="T908">
            <v>100.3</v>
          </cell>
          <cell r="U908">
            <v>10</v>
          </cell>
        </row>
        <row r="909">
          <cell r="A909" t="str">
            <v>KBMS-25H01-A (400 V)</v>
          </cell>
          <cell r="B909">
            <v>14.37</v>
          </cell>
          <cell r="C909">
            <v>10.86</v>
          </cell>
          <cell r="D909">
            <v>4.9000000000000004</v>
          </cell>
          <cell r="E909">
            <v>3.1</v>
          </cell>
          <cell r="L909">
            <v>3.304359770860303</v>
          </cell>
          <cell r="M909">
            <v>3150</v>
          </cell>
          <cell r="P909">
            <v>3979</v>
          </cell>
          <cell r="Q909">
            <v>0.434</v>
          </cell>
          <cell r="R909">
            <v>8.98</v>
          </cell>
          <cell r="S909">
            <v>37</v>
          </cell>
          <cell r="T909">
            <v>100.3</v>
          </cell>
          <cell r="U909">
            <v>10</v>
          </cell>
        </row>
        <row r="910">
          <cell r="A910" t="str">
            <v>KBMS-25H01-A (480 V)</v>
          </cell>
          <cell r="B910">
            <v>14.37</v>
          </cell>
          <cell r="C910">
            <v>10.86</v>
          </cell>
          <cell r="D910">
            <v>4.9000000000000004</v>
          </cell>
          <cell r="E910">
            <v>3.1</v>
          </cell>
          <cell r="N910">
            <v>2.7893997920842706</v>
          </cell>
          <cell r="O910">
            <v>3800</v>
          </cell>
          <cell r="P910">
            <v>4779</v>
          </cell>
          <cell r="Q910">
            <v>0.434</v>
          </cell>
          <cell r="R910">
            <v>8.98</v>
          </cell>
          <cell r="S910">
            <v>37</v>
          </cell>
          <cell r="T910">
            <v>100.3</v>
          </cell>
          <cell r="U910">
            <v>10</v>
          </cell>
        </row>
        <row r="911">
          <cell r="A911" t="str">
            <v>KBMS-25H01-B (120 V)</v>
          </cell>
          <cell r="B911">
            <v>14.64</v>
          </cell>
          <cell r="C911">
            <v>19.3</v>
          </cell>
          <cell r="D911">
            <v>4.96</v>
          </cell>
          <cell r="E911">
            <v>5.34</v>
          </cell>
          <cell r="H911">
            <v>4.2630788328186258</v>
          </cell>
          <cell r="I911">
            <v>1400</v>
          </cell>
          <cell r="P911">
            <v>1989</v>
          </cell>
          <cell r="Q911">
            <v>0.434</v>
          </cell>
          <cell r="R911">
            <v>2.87</v>
          </cell>
          <cell r="S911">
            <v>12</v>
          </cell>
          <cell r="T911">
            <v>57.5</v>
          </cell>
          <cell r="U911">
            <v>10</v>
          </cell>
        </row>
        <row r="912">
          <cell r="A912" t="str">
            <v>KBMS-25H01-B (240 V)</v>
          </cell>
          <cell r="B912">
            <v>14.64</v>
          </cell>
          <cell r="C912">
            <v>19.3</v>
          </cell>
          <cell r="D912">
            <v>4.96</v>
          </cell>
          <cell r="E912">
            <v>5.34</v>
          </cell>
          <cell r="J912">
            <v>3.3346749981159021</v>
          </cell>
          <cell r="K912">
            <v>3150</v>
          </cell>
          <cell r="P912">
            <v>4173</v>
          </cell>
          <cell r="Q912">
            <v>0.434</v>
          </cell>
          <cell r="R912">
            <v>2.87</v>
          </cell>
          <cell r="S912">
            <v>12</v>
          </cell>
          <cell r="T912">
            <v>57.5</v>
          </cell>
          <cell r="U912">
            <v>10</v>
          </cell>
        </row>
        <row r="913">
          <cell r="A913" t="str">
            <v>KBMS-25H01-B (400 V)</v>
          </cell>
          <cell r="B913">
            <v>14.64</v>
          </cell>
          <cell r="C913">
            <v>19.3</v>
          </cell>
          <cell r="D913">
            <v>4.96</v>
          </cell>
          <cell r="E913">
            <v>5.34</v>
          </cell>
          <cell r="L913">
            <v>1.4226503076377583</v>
          </cell>
          <cell r="M913">
            <v>4900</v>
          </cell>
          <cell r="P913">
            <v>6970</v>
          </cell>
          <cell r="Q913">
            <v>0.434</v>
          </cell>
          <cell r="R913">
            <v>2.87</v>
          </cell>
          <cell r="S913">
            <v>12</v>
          </cell>
          <cell r="T913">
            <v>57.5</v>
          </cell>
          <cell r="U913">
            <v>10</v>
          </cell>
        </row>
        <row r="914">
          <cell r="A914" t="str">
            <v>KBMS-25H01-C (120 V)</v>
          </cell>
          <cell r="B914">
            <v>15.1</v>
          </cell>
          <cell r="C914">
            <v>27.6</v>
          </cell>
          <cell r="D914">
            <v>4.8499999999999996</v>
          </cell>
          <cell r="E914">
            <v>6.45</v>
          </cell>
          <cell r="H914">
            <v>3.9834208613857238</v>
          </cell>
          <cell r="I914">
            <v>1750</v>
          </cell>
          <cell r="P914">
            <v>2470</v>
          </cell>
          <cell r="Q914">
            <v>0.434</v>
          </cell>
          <cell r="R914">
            <v>1.97</v>
          </cell>
          <cell r="S914">
            <v>7.9</v>
          </cell>
          <cell r="T914">
            <v>46.3</v>
          </cell>
          <cell r="U914">
            <v>10</v>
          </cell>
        </row>
        <row r="915">
          <cell r="A915" t="str">
            <v>KBMS-25H01-C (240 V)</v>
          </cell>
          <cell r="B915">
            <v>15.1</v>
          </cell>
          <cell r="C915">
            <v>27.6</v>
          </cell>
          <cell r="D915">
            <v>4.8499999999999996</v>
          </cell>
          <cell r="E915">
            <v>6.45</v>
          </cell>
          <cell r="J915">
            <v>2.3166932544737429</v>
          </cell>
          <cell r="K915">
            <v>4225</v>
          </cell>
          <cell r="P915">
            <v>5178</v>
          </cell>
          <cell r="Q915">
            <v>0.434</v>
          </cell>
          <cell r="R915">
            <v>1.97</v>
          </cell>
          <cell r="S915">
            <v>7.9</v>
          </cell>
          <cell r="T915">
            <v>46.3</v>
          </cell>
          <cell r="U915">
            <v>10</v>
          </cell>
        </row>
        <row r="916">
          <cell r="A916" t="str">
            <v>KBMS-25H01-D (120 V)</v>
          </cell>
          <cell r="B916">
            <v>15.2</v>
          </cell>
          <cell r="C916">
            <v>34.299999999999997</v>
          </cell>
          <cell r="D916">
            <v>4.75</v>
          </cell>
          <cell r="E916">
            <v>7.95</v>
          </cell>
          <cell r="H916">
            <v>3.6744032513824534</v>
          </cell>
          <cell r="I916">
            <v>2300</v>
          </cell>
          <cell r="P916">
            <v>3097</v>
          </cell>
          <cell r="Q916">
            <v>0.434</v>
          </cell>
          <cell r="R916">
            <v>1.3</v>
          </cell>
          <cell r="S916">
            <v>5.2</v>
          </cell>
          <cell r="T916">
            <v>37.1</v>
          </cell>
          <cell r="U916">
            <v>10</v>
          </cell>
        </row>
        <row r="917">
          <cell r="A917" t="str">
            <v>KBMS-25H01-D (240 V)</v>
          </cell>
          <cell r="B917">
            <v>15.2</v>
          </cell>
          <cell r="C917">
            <v>34.299999999999997</v>
          </cell>
          <cell r="D917">
            <v>4.75</v>
          </cell>
          <cell r="E917">
            <v>7.95</v>
          </cell>
          <cell r="J917">
            <v>1.3252085057447611</v>
          </cell>
          <cell r="K917">
            <v>4900</v>
          </cell>
          <cell r="P917">
            <v>6489</v>
          </cell>
          <cell r="Q917">
            <v>0.434</v>
          </cell>
          <cell r="R917">
            <v>1.3</v>
          </cell>
          <cell r="S917">
            <v>5.2</v>
          </cell>
          <cell r="T917">
            <v>37.1</v>
          </cell>
          <cell r="U917">
            <v>10</v>
          </cell>
        </row>
        <row r="918">
          <cell r="A918" t="str">
            <v>KBMS-25H01-E (120 V)</v>
          </cell>
          <cell r="B918">
            <v>15.32</v>
          </cell>
          <cell r="C918">
            <v>39</v>
          </cell>
          <cell r="D918">
            <v>5.09</v>
          </cell>
          <cell r="E918">
            <v>10.44</v>
          </cell>
          <cell r="H918">
            <v>3.6221469807121007</v>
          </cell>
          <cell r="I918">
            <v>2900</v>
          </cell>
          <cell r="P918">
            <v>3815</v>
          </cell>
          <cell r="Q918">
            <v>0.434</v>
          </cell>
          <cell r="R918">
            <v>0.75</v>
          </cell>
          <cell r="S918">
            <v>3.4</v>
          </cell>
          <cell r="T918">
            <v>30</v>
          </cell>
          <cell r="U918">
            <v>10</v>
          </cell>
        </row>
        <row r="919">
          <cell r="A919" t="str">
            <v>KBMS-25H01-E (240 V)</v>
          </cell>
          <cell r="B919">
            <v>15.32</v>
          </cell>
          <cell r="C919">
            <v>39</v>
          </cell>
          <cell r="D919">
            <v>5.09</v>
          </cell>
          <cell r="E919">
            <v>10.44</v>
          </cell>
          <cell r="J919">
            <v>1.4421386680163577</v>
          </cell>
          <cell r="K919">
            <v>4900</v>
          </cell>
          <cell r="P919">
            <v>6918</v>
          </cell>
          <cell r="Q919">
            <v>0.434</v>
          </cell>
          <cell r="R919">
            <v>0.75</v>
          </cell>
          <cell r="S919">
            <v>3.4</v>
          </cell>
          <cell r="T919">
            <v>30</v>
          </cell>
          <cell r="U919">
            <v>10</v>
          </cell>
        </row>
        <row r="920">
          <cell r="A920" t="str">
            <v>KBMS-25H01-F (120 V)</v>
          </cell>
          <cell r="B920">
            <v>15.73</v>
          </cell>
          <cell r="C920">
            <v>43.7</v>
          </cell>
          <cell r="D920">
            <v>4.63</v>
          </cell>
          <cell r="E920">
            <v>12</v>
          </cell>
          <cell r="H920">
            <v>2.4658943081579734</v>
          </cell>
          <cell r="I920">
            <v>3950</v>
          </cell>
          <cell r="P920">
            <v>4765</v>
          </cell>
          <cell r="Q920">
            <v>0.434</v>
          </cell>
          <cell r="R920">
            <v>0.56000000000000005</v>
          </cell>
          <cell r="S920">
            <v>2.1</v>
          </cell>
          <cell r="T920">
            <v>23.7</v>
          </cell>
          <cell r="U920">
            <v>10</v>
          </cell>
        </row>
        <row r="921">
          <cell r="A921" t="str">
            <v>KBMS-25H02-A (120 V)</v>
          </cell>
          <cell r="B921">
            <v>29.4</v>
          </cell>
          <cell r="C921">
            <v>15</v>
          </cell>
          <cell r="D921">
            <v>8.6999999999999993</v>
          </cell>
          <cell r="E921">
            <v>3.33</v>
          </cell>
          <cell r="H921">
            <v>8.0801740338962258</v>
          </cell>
          <cell r="I921">
            <v>390</v>
          </cell>
          <cell r="P921">
            <v>707</v>
          </cell>
          <cell r="Q921">
            <v>0.67800000000000005</v>
          </cell>
          <cell r="R921">
            <v>8.9600000000000009</v>
          </cell>
          <cell r="S921">
            <v>45</v>
          </cell>
          <cell r="T921">
            <v>162</v>
          </cell>
          <cell r="U921">
            <v>10</v>
          </cell>
        </row>
        <row r="922">
          <cell r="A922" t="str">
            <v>KBMS-25H02-A (240 V)</v>
          </cell>
          <cell r="B922">
            <v>29.4</v>
          </cell>
          <cell r="C922">
            <v>15</v>
          </cell>
          <cell r="D922">
            <v>8.6999999999999993</v>
          </cell>
          <cell r="E922">
            <v>3.33</v>
          </cell>
          <cell r="J922">
            <v>8.0691556147590937</v>
          </cell>
          <cell r="K922">
            <v>1000</v>
          </cell>
          <cell r="P922">
            <v>1484</v>
          </cell>
          <cell r="Q922">
            <v>0.67800000000000005</v>
          </cell>
          <cell r="R922">
            <v>8.9600000000000009</v>
          </cell>
          <cell r="S922">
            <v>45</v>
          </cell>
          <cell r="T922">
            <v>162</v>
          </cell>
          <cell r="U922">
            <v>10</v>
          </cell>
        </row>
        <row r="923">
          <cell r="A923" t="str">
            <v>KBMS-25H02-A (400 V)</v>
          </cell>
          <cell r="B923">
            <v>29.4</v>
          </cell>
          <cell r="C923">
            <v>15</v>
          </cell>
          <cell r="D923">
            <v>8.6999999999999993</v>
          </cell>
          <cell r="E923">
            <v>3.33</v>
          </cell>
          <cell r="L923">
            <v>7.5170103891095179</v>
          </cell>
          <cell r="M923">
            <v>1950</v>
          </cell>
          <cell r="P923">
            <v>2482</v>
          </cell>
          <cell r="Q923">
            <v>0.67800000000000005</v>
          </cell>
          <cell r="R923">
            <v>8.9600000000000009</v>
          </cell>
          <cell r="S923">
            <v>45</v>
          </cell>
          <cell r="T923">
            <v>162</v>
          </cell>
          <cell r="U923">
            <v>10</v>
          </cell>
        </row>
        <row r="924">
          <cell r="A924" t="str">
            <v>KBMS-25H02-A (480 V)</v>
          </cell>
          <cell r="B924">
            <v>29.4</v>
          </cell>
          <cell r="C924">
            <v>15</v>
          </cell>
          <cell r="D924">
            <v>8.6999999999999993</v>
          </cell>
          <cell r="E924">
            <v>3.33</v>
          </cell>
          <cell r="N924">
            <v>7.4404935895461071</v>
          </cell>
          <cell r="O924">
            <v>2400</v>
          </cell>
          <cell r="P924">
            <v>2982</v>
          </cell>
          <cell r="Q924">
            <v>0.67800000000000005</v>
          </cell>
          <cell r="R924">
            <v>8.9600000000000009</v>
          </cell>
          <cell r="S924">
            <v>45</v>
          </cell>
          <cell r="T924">
            <v>162</v>
          </cell>
          <cell r="U924">
            <v>10</v>
          </cell>
        </row>
        <row r="925">
          <cell r="A925" t="str">
            <v>KBMS-25H02-B (120 V)</v>
          </cell>
          <cell r="B925">
            <v>29.7</v>
          </cell>
          <cell r="C925">
            <v>23.6</v>
          </cell>
          <cell r="D925">
            <v>8.75</v>
          </cell>
          <cell r="E925">
            <v>5.18</v>
          </cell>
          <cell r="H925">
            <v>8.0214091318315255</v>
          </cell>
          <cell r="I925">
            <v>750</v>
          </cell>
          <cell r="P925">
            <v>1098</v>
          </cell>
          <cell r="Q925">
            <v>0.67800000000000005</v>
          </cell>
          <cell r="R925">
            <v>3.7</v>
          </cell>
          <cell r="S925">
            <v>19</v>
          </cell>
          <cell r="T925">
            <v>104</v>
          </cell>
          <cell r="U925">
            <v>10</v>
          </cell>
        </row>
        <row r="926">
          <cell r="A926" t="str">
            <v>KBMS-25H02-B (240 V)</v>
          </cell>
          <cell r="B926">
            <v>29.7</v>
          </cell>
          <cell r="C926">
            <v>23.6</v>
          </cell>
          <cell r="D926">
            <v>8.75</v>
          </cell>
          <cell r="E926">
            <v>5.18</v>
          </cell>
          <cell r="J926">
            <v>7.6956096012669404</v>
          </cell>
          <cell r="K926">
            <v>1700</v>
          </cell>
          <cell r="P926">
            <v>2303</v>
          </cell>
          <cell r="Q926">
            <v>0.67800000000000005</v>
          </cell>
          <cell r="R926">
            <v>3.7</v>
          </cell>
          <cell r="S926">
            <v>19</v>
          </cell>
          <cell r="T926">
            <v>104</v>
          </cell>
          <cell r="U926">
            <v>10</v>
          </cell>
        </row>
        <row r="927">
          <cell r="A927" t="str">
            <v>KBMS-25H02-B (400 V)</v>
          </cell>
          <cell r="B927">
            <v>29.7</v>
          </cell>
          <cell r="C927">
            <v>23.6</v>
          </cell>
          <cell r="D927">
            <v>8.75</v>
          </cell>
          <cell r="E927">
            <v>5.18</v>
          </cell>
          <cell r="L927">
            <v>6.7906109052542005</v>
          </cell>
          <cell r="M927">
            <v>3150</v>
          </cell>
          <cell r="P927">
            <v>3845</v>
          </cell>
          <cell r="Q927">
            <v>0.67800000000000005</v>
          </cell>
          <cell r="R927">
            <v>3.7</v>
          </cell>
          <cell r="S927">
            <v>19</v>
          </cell>
          <cell r="T927">
            <v>104</v>
          </cell>
          <cell r="U927">
            <v>10</v>
          </cell>
        </row>
        <row r="928">
          <cell r="A928" t="str">
            <v>KBMS-25H02-B (480 V)</v>
          </cell>
          <cell r="B928">
            <v>29.7</v>
          </cell>
          <cell r="C928">
            <v>23.6</v>
          </cell>
          <cell r="D928">
            <v>8.75</v>
          </cell>
          <cell r="E928">
            <v>5.18</v>
          </cell>
          <cell r="N928">
            <v>6.0876765732649973</v>
          </cell>
          <cell r="O928">
            <v>4000</v>
          </cell>
          <cell r="P928">
            <v>4614</v>
          </cell>
          <cell r="Q928">
            <v>0.67800000000000005</v>
          </cell>
          <cell r="R928">
            <v>3.7</v>
          </cell>
          <cell r="S928">
            <v>19</v>
          </cell>
          <cell r="T928">
            <v>104</v>
          </cell>
          <cell r="U928">
            <v>10</v>
          </cell>
        </row>
        <row r="929">
          <cell r="A929" t="str">
            <v>KBMS-25H02-C (120 V)</v>
          </cell>
          <cell r="B929">
            <v>29.7</v>
          </cell>
          <cell r="C929">
            <v>29.5</v>
          </cell>
          <cell r="D929">
            <v>8.75</v>
          </cell>
          <cell r="E929">
            <v>6.5</v>
          </cell>
          <cell r="H929">
            <v>7.9912534584035866</v>
          </cell>
          <cell r="I929">
            <v>950</v>
          </cell>
          <cell r="P929">
            <v>1380</v>
          </cell>
          <cell r="Q929">
            <v>0.67800000000000005</v>
          </cell>
          <cell r="R929">
            <v>2.35</v>
          </cell>
          <cell r="S929">
            <v>12</v>
          </cell>
          <cell r="T929">
            <v>83.4</v>
          </cell>
          <cell r="U929">
            <v>10</v>
          </cell>
        </row>
        <row r="930">
          <cell r="A930" t="str">
            <v>KBMS-25H02-C (240 V)</v>
          </cell>
          <cell r="B930">
            <v>29.7</v>
          </cell>
          <cell r="C930">
            <v>29.5</v>
          </cell>
          <cell r="D930">
            <v>8.75</v>
          </cell>
          <cell r="E930">
            <v>6.5</v>
          </cell>
          <cell r="J930">
            <v>7.4617759365874656</v>
          </cell>
          <cell r="K930">
            <v>2150</v>
          </cell>
          <cell r="P930">
            <v>2895</v>
          </cell>
          <cell r="Q930">
            <v>0.67800000000000005</v>
          </cell>
          <cell r="R930">
            <v>2.35</v>
          </cell>
          <cell r="S930">
            <v>12</v>
          </cell>
          <cell r="T930">
            <v>83.4</v>
          </cell>
          <cell r="U930">
            <v>10</v>
          </cell>
        </row>
        <row r="931">
          <cell r="A931" t="str">
            <v>KBMS-25H02-C (400 V)</v>
          </cell>
          <cell r="B931">
            <v>29.7</v>
          </cell>
          <cell r="C931">
            <v>29.5</v>
          </cell>
          <cell r="D931">
            <v>8.75</v>
          </cell>
          <cell r="E931">
            <v>6.5</v>
          </cell>
          <cell r="L931">
            <v>6.0399300903374282</v>
          </cell>
          <cell r="M931">
            <v>4000</v>
          </cell>
          <cell r="P931">
            <v>4826</v>
          </cell>
          <cell r="Q931">
            <v>0.67800000000000005</v>
          </cell>
          <cell r="R931">
            <v>2.35</v>
          </cell>
          <cell r="S931">
            <v>12</v>
          </cell>
          <cell r="T931">
            <v>83.4</v>
          </cell>
          <cell r="U931">
            <v>10</v>
          </cell>
        </row>
        <row r="932">
          <cell r="A932" t="str">
            <v>KBMS-25H02-C (480 V)</v>
          </cell>
          <cell r="B932">
            <v>29.7</v>
          </cell>
          <cell r="C932">
            <v>29.5</v>
          </cell>
          <cell r="D932">
            <v>8.75</v>
          </cell>
          <cell r="E932">
            <v>6.5</v>
          </cell>
          <cell r="N932">
            <v>4.8414933688554562</v>
          </cell>
          <cell r="O932">
            <v>5000</v>
          </cell>
          <cell r="P932">
            <v>5791</v>
          </cell>
          <cell r="Q932">
            <v>0.67800000000000005</v>
          </cell>
          <cell r="R932">
            <v>2.35</v>
          </cell>
          <cell r="S932">
            <v>12</v>
          </cell>
          <cell r="T932">
            <v>83.4</v>
          </cell>
          <cell r="U932">
            <v>10</v>
          </cell>
        </row>
        <row r="933">
          <cell r="A933" t="str">
            <v>KBMS-25H02-D (120 V)</v>
          </cell>
          <cell r="B933">
            <v>29.8</v>
          </cell>
          <cell r="C933">
            <v>37</v>
          </cell>
          <cell r="D933">
            <v>8.6199999999999992</v>
          </cell>
          <cell r="E933">
            <v>8</v>
          </cell>
          <cell r="H933">
            <v>7.7953441514397719</v>
          </cell>
          <cell r="I933">
            <v>1225</v>
          </cell>
          <cell r="P933">
            <v>1717</v>
          </cell>
          <cell r="Q933">
            <v>0.67800000000000005</v>
          </cell>
          <cell r="R933">
            <v>1.57</v>
          </cell>
          <cell r="S933">
            <v>7.8</v>
          </cell>
          <cell r="T933">
            <v>67</v>
          </cell>
          <cell r="U933">
            <v>10</v>
          </cell>
        </row>
        <row r="934">
          <cell r="A934" t="str">
            <v>KBMS-25H02-D (240 V)</v>
          </cell>
          <cell r="B934">
            <v>29.8</v>
          </cell>
          <cell r="C934">
            <v>37</v>
          </cell>
          <cell r="D934">
            <v>8.6199999999999992</v>
          </cell>
          <cell r="E934">
            <v>8</v>
          </cell>
          <cell r="J934">
            <v>6.9736147541916713</v>
          </cell>
          <cell r="K934">
            <v>2725</v>
          </cell>
          <cell r="P934">
            <v>3597</v>
          </cell>
          <cell r="Q934">
            <v>0.67800000000000005</v>
          </cell>
          <cell r="R934">
            <v>1.57</v>
          </cell>
          <cell r="S934">
            <v>7.8</v>
          </cell>
          <cell r="T934">
            <v>67</v>
          </cell>
          <cell r="U934">
            <v>10</v>
          </cell>
        </row>
        <row r="935">
          <cell r="A935" t="str">
            <v>KBMS-25H02-D (400 V)</v>
          </cell>
          <cell r="B935">
            <v>29.8</v>
          </cell>
          <cell r="C935">
            <v>37</v>
          </cell>
          <cell r="D935">
            <v>8.6199999999999992</v>
          </cell>
          <cell r="E935">
            <v>8</v>
          </cell>
          <cell r="L935">
            <v>4.4612543893712751</v>
          </cell>
          <cell r="M935">
            <v>5180</v>
          </cell>
          <cell r="P935">
            <v>5995</v>
          </cell>
          <cell r="Q935">
            <v>0.67800000000000005</v>
          </cell>
          <cell r="R935">
            <v>1.57</v>
          </cell>
          <cell r="S935">
            <v>7.8</v>
          </cell>
          <cell r="T935">
            <v>67</v>
          </cell>
          <cell r="U935">
            <v>10</v>
          </cell>
        </row>
        <row r="936">
          <cell r="A936" t="str">
            <v>KBMS-25H02-D (480 V)</v>
          </cell>
          <cell r="B936">
            <v>29.8</v>
          </cell>
          <cell r="C936">
            <v>37</v>
          </cell>
          <cell r="D936">
            <v>8.6199999999999992</v>
          </cell>
          <cell r="E936">
            <v>8</v>
          </cell>
          <cell r="N936">
            <v>2.8488734813449264</v>
          </cell>
          <cell r="O936">
            <v>6000</v>
          </cell>
          <cell r="P936">
            <v>7193</v>
          </cell>
          <cell r="Q936">
            <v>0.67800000000000005</v>
          </cell>
          <cell r="R936">
            <v>1.57</v>
          </cell>
          <cell r="S936">
            <v>7.8</v>
          </cell>
          <cell r="T936">
            <v>67</v>
          </cell>
          <cell r="U936">
            <v>10</v>
          </cell>
        </row>
        <row r="937">
          <cell r="A937" t="str">
            <v>KBMS-25H02-E (120 V)</v>
          </cell>
          <cell r="B937">
            <v>29.8</v>
          </cell>
          <cell r="C937">
            <v>46.5</v>
          </cell>
          <cell r="D937">
            <v>8.85</v>
          </cell>
          <cell r="E937">
            <v>10.199999999999999</v>
          </cell>
          <cell r="H937">
            <v>7.8184865793893579</v>
          </cell>
          <cell r="I937">
            <v>1600</v>
          </cell>
          <cell r="P937">
            <v>2143</v>
          </cell>
          <cell r="Q937">
            <v>0.67800000000000005</v>
          </cell>
          <cell r="R937">
            <v>0.96</v>
          </cell>
          <cell r="S937">
            <v>5</v>
          </cell>
          <cell r="T937">
            <v>54</v>
          </cell>
          <cell r="U937">
            <v>10</v>
          </cell>
        </row>
        <row r="938">
          <cell r="A938" t="str">
            <v>KBMS-25H02-E (240 V)</v>
          </cell>
          <cell r="B938">
            <v>29.8</v>
          </cell>
          <cell r="C938">
            <v>46.5</v>
          </cell>
          <cell r="D938">
            <v>8.85</v>
          </cell>
          <cell r="E938">
            <v>10.199999999999999</v>
          </cell>
          <cell r="J938">
            <v>6.5120897548433847</v>
          </cell>
          <cell r="K938">
            <v>3600</v>
          </cell>
          <cell r="P938">
            <v>4480</v>
          </cell>
          <cell r="Q938">
            <v>0.67800000000000005</v>
          </cell>
          <cell r="R938">
            <v>0.96</v>
          </cell>
          <cell r="S938">
            <v>5</v>
          </cell>
          <cell r="T938">
            <v>54</v>
          </cell>
          <cell r="U938">
            <v>10</v>
          </cell>
        </row>
        <row r="939">
          <cell r="A939" t="str">
            <v>KBMS-25H02-E (400 V)</v>
          </cell>
          <cell r="B939">
            <v>29.8</v>
          </cell>
          <cell r="C939">
            <v>43.3</v>
          </cell>
          <cell r="D939">
            <v>8.85</v>
          </cell>
          <cell r="E939">
            <v>10.199999999999999</v>
          </cell>
          <cell r="L939">
            <v>2.9443664472000637</v>
          </cell>
          <cell r="M939">
            <v>6000</v>
          </cell>
          <cell r="P939">
            <v>6100</v>
          </cell>
          <cell r="Q939">
            <v>0.67800000000000005</v>
          </cell>
          <cell r="R939">
            <v>0.96</v>
          </cell>
          <cell r="S939">
            <v>5</v>
          </cell>
          <cell r="T939">
            <v>54</v>
          </cell>
          <cell r="U939">
            <v>10</v>
          </cell>
        </row>
        <row r="940">
          <cell r="A940" t="str">
            <v>KBMS-25H02-F (120 V)</v>
          </cell>
          <cell r="B940">
            <v>30.1</v>
          </cell>
          <cell r="C940">
            <v>58</v>
          </cell>
          <cell r="D940">
            <v>8.93</v>
          </cell>
          <cell r="E940">
            <v>12.74</v>
          </cell>
          <cell r="H940">
            <v>7.639437268410977</v>
          </cell>
          <cell r="I940">
            <v>2100</v>
          </cell>
          <cell r="P940">
            <v>2666</v>
          </cell>
          <cell r="Q940">
            <v>0.67800000000000005</v>
          </cell>
          <cell r="R940">
            <v>0.61</v>
          </cell>
          <cell r="S940">
            <v>3.2</v>
          </cell>
          <cell r="T940">
            <v>43.3</v>
          </cell>
          <cell r="U940">
            <v>10</v>
          </cell>
        </row>
        <row r="941">
          <cell r="A941" t="str">
            <v>KBMS-25H02-F (240 V)</v>
          </cell>
          <cell r="B941">
            <v>30.1</v>
          </cell>
          <cell r="C941">
            <v>58</v>
          </cell>
          <cell r="D941">
            <v>8.93</v>
          </cell>
          <cell r="E941">
            <v>12.74</v>
          </cell>
          <cell r="J941">
            <v>5.6022539968347154</v>
          </cell>
          <cell r="K941">
            <v>4500</v>
          </cell>
          <cell r="P941">
            <v>5564</v>
          </cell>
          <cell r="Q941">
            <v>0.67800000000000005</v>
          </cell>
          <cell r="R941">
            <v>0.61</v>
          </cell>
          <cell r="S941">
            <v>3.2</v>
          </cell>
          <cell r="T941">
            <v>43.3</v>
          </cell>
          <cell r="U941">
            <v>10</v>
          </cell>
        </row>
        <row r="942">
          <cell r="A942" t="str">
            <v>KBMS-25H02-G (120 V)</v>
          </cell>
          <cell r="B942">
            <v>30</v>
          </cell>
          <cell r="C942">
            <v>65.5</v>
          </cell>
          <cell r="D942">
            <v>8.74</v>
          </cell>
          <cell r="E942">
            <v>14.37</v>
          </cell>
          <cell r="H942">
            <v>7.341021750113673</v>
          </cell>
          <cell r="I942">
            <v>2400</v>
          </cell>
          <cell r="P942">
            <v>3027</v>
          </cell>
          <cell r="Q942">
            <v>0.67800000000000005</v>
          </cell>
          <cell r="R942">
            <v>0.49</v>
          </cell>
          <cell r="S942">
            <v>2.5</v>
          </cell>
          <cell r="T942">
            <v>38.200000000000003</v>
          </cell>
          <cell r="U942">
            <v>10</v>
          </cell>
        </row>
        <row r="943">
          <cell r="A943" t="str">
            <v>KBMS-25H02-G (240 V)</v>
          </cell>
          <cell r="B943">
            <v>30</v>
          </cell>
          <cell r="C943">
            <v>65.5</v>
          </cell>
          <cell r="D943">
            <v>8.74</v>
          </cell>
          <cell r="E943">
            <v>14.37</v>
          </cell>
          <cell r="J943">
            <v>4.3692536263907114</v>
          </cell>
          <cell r="K943">
            <v>5300</v>
          </cell>
          <cell r="P943">
            <v>6316</v>
          </cell>
          <cell r="Q943">
            <v>0.67800000000000005</v>
          </cell>
          <cell r="R943">
            <v>0.49</v>
          </cell>
          <cell r="S943">
            <v>2.5</v>
          </cell>
          <cell r="T943">
            <v>38.200000000000003</v>
          </cell>
          <cell r="U943">
            <v>10</v>
          </cell>
        </row>
        <row r="944">
          <cell r="A944" t="str">
            <v>KBMS-25H03-A (120 V)</v>
          </cell>
          <cell r="B944">
            <v>42.2</v>
          </cell>
          <cell r="C944">
            <v>23.9</v>
          </cell>
          <cell r="D944">
            <v>11.86</v>
          </cell>
          <cell r="E944">
            <v>5.3</v>
          </cell>
          <cell r="H944">
            <v>11.285532328334398</v>
          </cell>
          <cell r="I944">
            <v>550</v>
          </cell>
          <cell r="P944">
            <v>827</v>
          </cell>
          <cell r="Q944">
            <v>0.93099999999999994</v>
          </cell>
          <cell r="R944">
            <v>3.97</v>
          </cell>
          <cell r="S944">
            <v>21</v>
          </cell>
          <cell r="T944">
            <v>139</v>
          </cell>
          <cell r="U944">
            <v>10</v>
          </cell>
        </row>
        <row r="945">
          <cell r="A945" t="str">
            <v>KBMS-25H03-A (240 V)</v>
          </cell>
          <cell r="B945">
            <v>42.2</v>
          </cell>
          <cell r="C945">
            <v>23.9</v>
          </cell>
          <cell r="D945">
            <v>11.86</v>
          </cell>
          <cell r="E945">
            <v>5.3</v>
          </cell>
          <cell r="J945">
            <v>11.018419137131216</v>
          </cell>
          <cell r="K945">
            <v>1300</v>
          </cell>
          <cell r="P945">
            <v>1735</v>
          </cell>
          <cell r="Q945">
            <v>0.93099999999999994</v>
          </cell>
          <cell r="R945">
            <v>3.97</v>
          </cell>
          <cell r="S945">
            <v>21</v>
          </cell>
          <cell r="T945">
            <v>139</v>
          </cell>
          <cell r="U945">
            <v>10</v>
          </cell>
        </row>
        <row r="946">
          <cell r="A946" t="str">
            <v>KBMS-25H03-A (400 V)</v>
          </cell>
          <cell r="B946">
            <v>42.2</v>
          </cell>
          <cell r="C946">
            <v>23.9</v>
          </cell>
          <cell r="D946">
            <v>11.86</v>
          </cell>
          <cell r="E946">
            <v>5.3</v>
          </cell>
          <cell r="L946">
            <v>9.9869726790164322</v>
          </cell>
          <cell r="M946">
            <v>2400</v>
          </cell>
          <cell r="P946">
            <v>2899</v>
          </cell>
          <cell r="Q946">
            <v>0.93099999999999994</v>
          </cell>
          <cell r="R946">
            <v>3.97</v>
          </cell>
          <cell r="S946">
            <v>21</v>
          </cell>
          <cell r="T946">
            <v>139</v>
          </cell>
          <cell r="U946">
            <v>10</v>
          </cell>
        </row>
        <row r="947">
          <cell r="A947" t="str">
            <v>KBMS-25H03-A (480 V)</v>
          </cell>
          <cell r="B947">
            <v>42.2</v>
          </cell>
          <cell r="C947">
            <v>23.9</v>
          </cell>
          <cell r="D947">
            <v>11.86</v>
          </cell>
          <cell r="E947">
            <v>5.3</v>
          </cell>
          <cell r="N947">
            <v>9.3846535409358971</v>
          </cell>
          <cell r="O947">
            <v>2900</v>
          </cell>
          <cell r="P947">
            <v>3479</v>
          </cell>
          <cell r="Q947">
            <v>0.93099999999999994</v>
          </cell>
          <cell r="R947">
            <v>3.97</v>
          </cell>
          <cell r="S947">
            <v>21</v>
          </cell>
          <cell r="T947">
            <v>139</v>
          </cell>
          <cell r="U947">
            <v>10</v>
          </cell>
        </row>
        <row r="948">
          <cell r="A948" t="str">
            <v>KBMS-25H03-B (120 V)</v>
          </cell>
          <cell r="B948">
            <v>42.3</v>
          </cell>
          <cell r="C948">
            <v>33</v>
          </cell>
          <cell r="D948">
            <v>11.84</v>
          </cell>
          <cell r="E948">
            <v>7.27</v>
          </cell>
          <cell r="H948">
            <v>10.742958658702936</v>
          </cell>
          <cell r="I948">
            <v>800</v>
          </cell>
          <cell r="P948">
            <v>1144</v>
          </cell>
          <cell r="Q948">
            <v>0.93099999999999994</v>
          </cell>
          <cell r="R948">
            <v>2.1</v>
          </cell>
          <cell r="S948">
            <v>11.4</v>
          </cell>
          <cell r="T948">
            <v>100</v>
          </cell>
          <cell r="U948">
            <v>10</v>
          </cell>
        </row>
        <row r="949">
          <cell r="A949" t="str">
            <v>KBMS-25H03-B (240 V)</v>
          </cell>
          <cell r="B949">
            <v>42.3</v>
          </cell>
          <cell r="C949">
            <v>33</v>
          </cell>
          <cell r="D949">
            <v>11.84</v>
          </cell>
          <cell r="E949">
            <v>7.27</v>
          </cell>
          <cell r="J949">
            <v>10.02022080068974</v>
          </cell>
          <cell r="K949">
            <v>1825</v>
          </cell>
          <cell r="P949">
            <v>2399</v>
          </cell>
          <cell r="Q949">
            <v>0.93099999999999994</v>
          </cell>
          <cell r="R949">
            <v>2.1</v>
          </cell>
          <cell r="S949">
            <v>11.4</v>
          </cell>
          <cell r="T949">
            <v>100</v>
          </cell>
          <cell r="U949">
            <v>10</v>
          </cell>
        </row>
        <row r="950">
          <cell r="A950" t="str">
            <v>KBMS-25H03-B (400 V)</v>
          </cell>
          <cell r="B950">
            <v>42.3</v>
          </cell>
          <cell r="C950">
            <v>33</v>
          </cell>
          <cell r="D950">
            <v>11.84</v>
          </cell>
          <cell r="E950">
            <v>7.27</v>
          </cell>
          <cell r="L950">
            <v>5.2661562052465376</v>
          </cell>
          <cell r="M950">
            <v>3400</v>
          </cell>
          <cell r="P950">
            <v>4000</v>
          </cell>
          <cell r="Q950">
            <v>0.93099999999999994</v>
          </cell>
          <cell r="R950">
            <v>2.1</v>
          </cell>
          <cell r="S950">
            <v>11.4</v>
          </cell>
          <cell r="T950">
            <v>100</v>
          </cell>
          <cell r="U950">
            <v>10</v>
          </cell>
        </row>
        <row r="951">
          <cell r="A951" t="str">
            <v>KBMS-25H03-B (480 V)</v>
          </cell>
          <cell r="B951">
            <v>42.3</v>
          </cell>
          <cell r="C951">
            <v>33</v>
          </cell>
          <cell r="D951">
            <v>11.84</v>
          </cell>
          <cell r="E951">
            <v>7.27</v>
          </cell>
          <cell r="N951">
            <v>6.6499920800324466</v>
          </cell>
          <cell r="O951">
            <v>4150</v>
          </cell>
          <cell r="P951">
            <v>4800</v>
          </cell>
          <cell r="Q951">
            <v>0.93099999999999994</v>
          </cell>
          <cell r="R951">
            <v>2.1</v>
          </cell>
          <cell r="S951">
            <v>11.4</v>
          </cell>
          <cell r="T951">
            <v>100</v>
          </cell>
          <cell r="U951">
            <v>10</v>
          </cell>
        </row>
        <row r="952">
          <cell r="A952" t="str">
            <v>KBMS-25H03-C (120 V)</v>
          </cell>
          <cell r="B952">
            <v>42.4</v>
          </cell>
          <cell r="C952">
            <v>37</v>
          </cell>
          <cell r="D952">
            <v>11.9</v>
          </cell>
          <cell r="E952">
            <v>8.1999999999999993</v>
          </cell>
          <cell r="H952">
            <v>10.769484482551585</v>
          </cell>
          <cell r="I952">
            <v>900</v>
          </cell>
          <cell r="P952">
            <v>1276</v>
          </cell>
          <cell r="Q952">
            <v>0.93099999999999994</v>
          </cell>
          <cell r="R952">
            <v>1.66</v>
          </cell>
          <cell r="S952">
            <v>9.1</v>
          </cell>
          <cell r="T952">
            <v>90</v>
          </cell>
          <cell r="U952">
            <v>10</v>
          </cell>
        </row>
        <row r="953">
          <cell r="A953" t="str">
            <v>KBMS-25H03-C (240 V)</v>
          </cell>
          <cell r="B953">
            <v>42.4</v>
          </cell>
          <cell r="C953">
            <v>37</v>
          </cell>
          <cell r="D953">
            <v>11.9</v>
          </cell>
          <cell r="E953">
            <v>8.1999999999999993</v>
          </cell>
          <cell r="J953">
            <v>9.8753701274580923</v>
          </cell>
          <cell r="K953">
            <v>2050</v>
          </cell>
          <cell r="P953">
            <v>2676</v>
          </cell>
          <cell r="Q953">
            <v>0.93099999999999994</v>
          </cell>
          <cell r="R953">
            <v>1.66</v>
          </cell>
          <cell r="S953">
            <v>9.1</v>
          </cell>
          <cell r="T953">
            <v>90</v>
          </cell>
          <cell r="U953">
            <v>10</v>
          </cell>
        </row>
        <row r="954">
          <cell r="A954" t="str">
            <v>KBMS-25H03-C (400 V)</v>
          </cell>
          <cell r="B954">
            <v>42.4</v>
          </cell>
          <cell r="C954">
            <v>37</v>
          </cell>
          <cell r="D954">
            <v>11.9</v>
          </cell>
          <cell r="E954">
            <v>8.1999999999999993</v>
          </cell>
          <cell r="L954">
            <v>7.4635291734146705</v>
          </cell>
          <cell r="M954">
            <v>3800</v>
          </cell>
          <cell r="P954">
            <v>4459</v>
          </cell>
          <cell r="Q954">
            <v>0.93099999999999994</v>
          </cell>
          <cell r="R954">
            <v>1.66</v>
          </cell>
          <cell r="S954">
            <v>9.1</v>
          </cell>
          <cell r="T954">
            <v>90</v>
          </cell>
          <cell r="U954">
            <v>10</v>
          </cell>
        </row>
        <row r="955">
          <cell r="A955" t="str">
            <v>KBMS-25H03-C (480 V)</v>
          </cell>
          <cell r="B955">
            <v>42.4</v>
          </cell>
          <cell r="C955">
            <v>37</v>
          </cell>
          <cell r="D955">
            <v>11.9</v>
          </cell>
          <cell r="E955">
            <v>8.1999999999999993</v>
          </cell>
          <cell r="N955">
            <v>5.2243241637149138</v>
          </cell>
          <cell r="O955">
            <v>4725</v>
          </cell>
          <cell r="P955">
            <v>5351</v>
          </cell>
          <cell r="Q955">
            <v>0.93099999999999994</v>
          </cell>
          <cell r="R955">
            <v>1.66</v>
          </cell>
          <cell r="S955">
            <v>9.1</v>
          </cell>
          <cell r="T955">
            <v>90</v>
          </cell>
          <cell r="U955">
            <v>10</v>
          </cell>
        </row>
        <row r="956">
          <cell r="A956" t="str">
            <v>KBMS-25H03-D (120 V)</v>
          </cell>
          <cell r="B956">
            <v>42.6</v>
          </cell>
          <cell r="C956">
            <v>47</v>
          </cell>
          <cell r="D956">
            <v>11.9</v>
          </cell>
          <cell r="E956">
            <v>10.24</v>
          </cell>
          <cell r="H956">
            <v>10.663381187156988</v>
          </cell>
          <cell r="I956">
            <v>1200</v>
          </cell>
          <cell r="P956">
            <v>1595</v>
          </cell>
          <cell r="Q956">
            <v>0.93099999999999994</v>
          </cell>
          <cell r="R956">
            <v>1.06</v>
          </cell>
          <cell r="S956">
            <v>5.7</v>
          </cell>
          <cell r="T956">
            <v>72.099999999999994</v>
          </cell>
          <cell r="U956">
            <v>10</v>
          </cell>
        </row>
        <row r="957">
          <cell r="A957" t="str">
            <v>KBMS-25H03-D (240 V)</v>
          </cell>
          <cell r="B957">
            <v>42.6</v>
          </cell>
          <cell r="C957">
            <v>47</v>
          </cell>
          <cell r="D957">
            <v>11.9</v>
          </cell>
          <cell r="E957">
            <v>10.24</v>
          </cell>
          <cell r="J957">
            <v>9.1956189341983965</v>
          </cell>
          <cell r="K957">
            <v>2700</v>
          </cell>
          <cell r="P957">
            <v>3338</v>
          </cell>
          <cell r="Q957">
            <v>0.93099999999999994</v>
          </cell>
          <cell r="R957">
            <v>1.06</v>
          </cell>
          <cell r="S957">
            <v>5.7</v>
          </cell>
          <cell r="T957">
            <v>72.099999999999994</v>
          </cell>
          <cell r="U957">
            <v>10</v>
          </cell>
        </row>
        <row r="958">
          <cell r="A958" t="str">
            <v>KBMS-25H03-D (400 V)</v>
          </cell>
          <cell r="B958">
            <v>42.6</v>
          </cell>
          <cell r="C958">
            <v>47</v>
          </cell>
          <cell r="D958">
            <v>11.9</v>
          </cell>
          <cell r="E958">
            <v>10.199999999999999</v>
          </cell>
          <cell r="L958">
            <v>5.0010749128257421</v>
          </cell>
          <cell r="M958">
            <v>4850</v>
          </cell>
          <cell r="P958">
            <v>5560</v>
          </cell>
          <cell r="Q958">
            <v>0.93099999999999994</v>
          </cell>
          <cell r="R958">
            <v>1.06</v>
          </cell>
          <cell r="S958">
            <v>5.7</v>
          </cell>
          <cell r="T958">
            <v>72.099999999999994</v>
          </cell>
          <cell r="U958">
            <v>10</v>
          </cell>
        </row>
        <row r="959">
          <cell r="A959" t="str">
            <v>KBMS-25H03-E (120 V)</v>
          </cell>
          <cell r="B959">
            <v>42.6</v>
          </cell>
          <cell r="C959">
            <v>59</v>
          </cell>
          <cell r="D959">
            <v>11.8</v>
          </cell>
          <cell r="E959">
            <v>12.7</v>
          </cell>
          <cell r="H959">
            <v>10.269407475568853</v>
          </cell>
          <cell r="I959">
            <v>1525</v>
          </cell>
          <cell r="P959">
            <v>2006</v>
          </cell>
          <cell r="Q959">
            <v>0.93099999999999994</v>
          </cell>
          <cell r="R959">
            <v>0.69</v>
          </cell>
          <cell r="S959">
            <v>3.6</v>
          </cell>
          <cell r="T959">
            <v>57.4</v>
          </cell>
          <cell r="U959">
            <v>10</v>
          </cell>
        </row>
        <row r="960">
          <cell r="A960" t="str">
            <v>KBMS-25H03-E (240 V)</v>
          </cell>
          <cell r="B960">
            <v>42.6</v>
          </cell>
          <cell r="C960">
            <v>59</v>
          </cell>
          <cell r="D960">
            <v>11.8</v>
          </cell>
          <cell r="E960">
            <v>12.7</v>
          </cell>
          <cell r="J960">
            <v>8.0747728480446916</v>
          </cell>
          <cell r="K960">
            <v>3400</v>
          </cell>
          <cell r="P960">
            <v>4193</v>
          </cell>
          <cell r="Q960">
            <v>0.93099999999999994</v>
          </cell>
          <cell r="R960">
            <v>0.69</v>
          </cell>
          <cell r="S960">
            <v>3.6</v>
          </cell>
          <cell r="T960">
            <v>57.4</v>
          </cell>
          <cell r="U960">
            <v>10</v>
          </cell>
        </row>
        <row r="961">
          <cell r="A961" t="str">
            <v>KBMS-25H03-F (120 V)</v>
          </cell>
          <cell r="B961">
            <v>42</v>
          </cell>
          <cell r="C961">
            <v>67</v>
          </cell>
          <cell r="D961">
            <v>11.75</v>
          </cell>
          <cell r="E961">
            <v>14.79</v>
          </cell>
          <cell r="H961">
            <v>9.936430230872384</v>
          </cell>
          <cell r="I961">
            <v>1850</v>
          </cell>
          <cell r="P961">
            <v>2347</v>
          </cell>
          <cell r="Q961">
            <v>0.93099999999999994</v>
          </cell>
          <cell r="R961">
            <v>0.51</v>
          </cell>
          <cell r="S961">
            <v>2.7</v>
          </cell>
          <cell r="T961">
            <v>49.4</v>
          </cell>
          <cell r="U961">
            <v>10</v>
          </cell>
        </row>
        <row r="962">
          <cell r="A962" t="str">
            <v>KBMS-25H03-F (240 V)</v>
          </cell>
          <cell r="B962">
            <v>42</v>
          </cell>
          <cell r="C962">
            <v>67</v>
          </cell>
          <cell r="D962">
            <v>11.75</v>
          </cell>
          <cell r="E962">
            <v>14.79</v>
          </cell>
          <cell r="J962">
            <v>6.7427350280639562</v>
          </cell>
          <cell r="K962">
            <v>4100</v>
          </cell>
          <cell r="P962">
            <v>4902</v>
          </cell>
          <cell r="Q962">
            <v>0.93099999999999994</v>
          </cell>
          <cell r="R962">
            <v>0.51</v>
          </cell>
          <cell r="S962">
            <v>2.7</v>
          </cell>
          <cell r="T962">
            <v>49.4</v>
          </cell>
          <cell r="U962">
            <v>10</v>
          </cell>
        </row>
        <row r="963">
          <cell r="A963" t="str">
            <v>KBMS-25H03-G (120 V)</v>
          </cell>
          <cell r="B963">
            <v>42</v>
          </cell>
          <cell r="C963">
            <v>96</v>
          </cell>
          <cell r="D963">
            <v>11.2</v>
          </cell>
          <cell r="E963">
            <v>20</v>
          </cell>
          <cell r="H963">
            <v>8.5422798546777301</v>
          </cell>
          <cell r="I963">
            <v>2750</v>
          </cell>
          <cell r="P963">
            <v>3324</v>
          </cell>
          <cell r="Q963">
            <v>0.93099999999999994</v>
          </cell>
          <cell r="R963">
            <v>0.28000000000000003</v>
          </cell>
          <cell r="S963">
            <v>1.3</v>
          </cell>
          <cell r="T963">
            <v>34.6</v>
          </cell>
          <cell r="U963">
            <v>10</v>
          </cell>
        </row>
        <row r="964">
          <cell r="A964" t="str">
            <v>KBMS-25H03-G (240 V)</v>
          </cell>
          <cell r="B964">
            <v>42</v>
          </cell>
          <cell r="C964">
            <v>96</v>
          </cell>
          <cell r="D964">
            <v>11.2</v>
          </cell>
          <cell r="E964">
            <v>20</v>
          </cell>
          <cell r="J964">
            <v>3.5388569699256727</v>
          </cell>
          <cell r="K964">
            <v>5100</v>
          </cell>
          <cell r="P964">
            <v>6937</v>
          </cell>
          <cell r="Q964">
            <v>0.93099999999999994</v>
          </cell>
          <cell r="R964">
            <v>0.28000000000000003</v>
          </cell>
          <cell r="S964">
            <v>1.3</v>
          </cell>
          <cell r="T964">
            <v>34.6</v>
          </cell>
          <cell r="U964">
            <v>10</v>
          </cell>
        </row>
        <row r="965">
          <cell r="A965" t="str">
            <v>KBMS-25H03-H (120 V)</v>
          </cell>
          <cell r="B965">
            <v>42.6</v>
          </cell>
          <cell r="C965">
            <v>105</v>
          </cell>
          <cell r="D965">
            <v>11</v>
          </cell>
          <cell r="E965">
            <v>21.1</v>
          </cell>
          <cell r="H965">
            <v>7.9793274858614645</v>
          </cell>
          <cell r="I965">
            <v>2950</v>
          </cell>
          <cell r="P965">
            <v>3642</v>
          </cell>
          <cell r="Q965">
            <v>0.93099999999999994</v>
          </cell>
          <cell r="R965">
            <v>0.25</v>
          </cell>
          <cell r="S965">
            <v>1.1000000000000001</v>
          </cell>
          <cell r="T965">
            <v>31.8</v>
          </cell>
          <cell r="U965">
            <v>10</v>
          </cell>
        </row>
        <row r="966">
          <cell r="A966" t="str">
            <v>KBMS-25H03-H (240 V)</v>
          </cell>
          <cell r="B966">
            <v>42.6</v>
          </cell>
          <cell r="C966">
            <v>105</v>
          </cell>
          <cell r="D966">
            <v>11</v>
          </cell>
          <cell r="E966">
            <v>21.1</v>
          </cell>
          <cell r="J966">
            <v>3.0300652627110845</v>
          </cell>
          <cell r="K966">
            <v>5200</v>
          </cell>
          <cell r="P966">
            <v>7600</v>
          </cell>
          <cell r="Q966">
            <v>0.93099999999999994</v>
          </cell>
          <cell r="R966">
            <v>0.25</v>
          </cell>
          <cell r="S966">
            <v>1.1000000000000001</v>
          </cell>
          <cell r="T966">
            <v>31.8</v>
          </cell>
          <cell r="U966">
            <v>10</v>
          </cell>
        </row>
        <row r="967">
          <cell r="A967" t="str">
            <v>KBMS-25H04-A (120 V)</v>
          </cell>
          <cell r="B967">
            <v>54.4</v>
          </cell>
          <cell r="C967">
            <v>25</v>
          </cell>
          <cell r="D967">
            <v>14.82</v>
          </cell>
          <cell r="E967">
            <v>5.5</v>
          </cell>
          <cell r="H967">
            <v>13.687325105903</v>
          </cell>
          <cell r="I967">
            <v>450</v>
          </cell>
          <cell r="P967">
            <v>685</v>
          </cell>
          <cell r="Q967">
            <v>1.1800000000000002</v>
          </cell>
          <cell r="R967">
            <v>4.08</v>
          </cell>
          <cell r="S967">
            <v>23</v>
          </cell>
          <cell r="T967">
            <v>167</v>
          </cell>
          <cell r="U967">
            <v>10</v>
          </cell>
        </row>
        <row r="968">
          <cell r="A968" t="str">
            <v>KBMS-25H04-A (240 V)</v>
          </cell>
          <cell r="B968">
            <v>54.4</v>
          </cell>
          <cell r="C968">
            <v>25</v>
          </cell>
          <cell r="D968">
            <v>14.82</v>
          </cell>
          <cell r="E968">
            <v>5.5</v>
          </cell>
          <cell r="J968">
            <v>13.187123856185615</v>
          </cell>
          <cell r="K968">
            <v>1050</v>
          </cell>
          <cell r="P968">
            <v>1437</v>
          </cell>
          <cell r="Q968">
            <v>1.1800000000000002</v>
          </cell>
          <cell r="R968">
            <v>4.08</v>
          </cell>
          <cell r="S968">
            <v>23</v>
          </cell>
          <cell r="T968">
            <v>167</v>
          </cell>
          <cell r="U968">
            <v>10</v>
          </cell>
        </row>
        <row r="969">
          <cell r="A969" t="str">
            <v>KBMS-25H04-A (400 V)</v>
          </cell>
          <cell r="B969">
            <v>54.4</v>
          </cell>
          <cell r="C969">
            <v>25</v>
          </cell>
          <cell r="D969">
            <v>14.82</v>
          </cell>
          <cell r="E969">
            <v>5.5</v>
          </cell>
          <cell r="L969">
            <v>12.032113697747288</v>
          </cell>
          <cell r="M969">
            <v>2000</v>
          </cell>
          <cell r="P969">
            <v>2400</v>
          </cell>
          <cell r="Q969">
            <v>1.1800000000000002</v>
          </cell>
          <cell r="R969">
            <v>4.08</v>
          </cell>
          <cell r="S969">
            <v>23</v>
          </cell>
          <cell r="T969">
            <v>167</v>
          </cell>
          <cell r="U969">
            <v>10</v>
          </cell>
        </row>
        <row r="970">
          <cell r="A970" t="str">
            <v>KBMS-25H04-A (480 V)</v>
          </cell>
          <cell r="B970">
            <v>54.4</v>
          </cell>
          <cell r="C970">
            <v>25</v>
          </cell>
          <cell r="D970">
            <v>14.82</v>
          </cell>
          <cell r="E970">
            <v>5.5</v>
          </cell>
          <cell r="N970">
            <v>11.399472798957003</v>
          </cell>
          <cell r="O970">
            <v>2400</v>
          </cell>
          <cell r="P970">
            <v>2888</v>
          </cell>
          <cell r="Q970">
            <v>1.1800000000000002</v>
          </cell>
          <cell r="R970">
            <v>4.08</v>
          </cell>
          <cell r="S970">
            <v>23</v>
          </cell>
          <cell r="T970">
            <v>167</v>
          </cell>
          <cell r="U970">
            <v>10</v>
          </cell>
        </row>
        <row r="971">
          <cell r="A971" t="str">
            <v>KBMS-25H04-B (120 V)</v>
          </cell>
          <cell r="B971">
            <v>53.8</v>
          </cell>
          <cell r="C971">
            <v>27.5</v>
          </cell>
          <cell r="D971">
            <v>14.9</v>
          </cell>
          <cell r="E971">
            <v>6.2</v>
          </cell>
          <cell r="H971">
            <v>13.641852265019601</v>
          </cell>
          <cell r="I971">
            <v>525</v>
          </cell>
          <cell r="P971">
            <v>772</v>
          </cell>
          <cell r="Q971">
            <v>1.1800000000000002</v>
          </cell>
          <cell r="R971">
            <v>3.2</v>
          </cell>
          <cell r="S971">
            <v>18</v>
          </cell>
          <cell r="T971">
            <v>148</v>
          </cell>
          <cell r="U971">
            <v>10</v>
          </cell>
        </row>
        <row r="972">
          <cell r="A972" t="str">
            <v>KBMS-25H04-B (240 V)</v>
          </cell>
          <cell r="B972">
            <v>53.8</v>
          </cell>
          <cell r="C972">
            <v>27.5</v>
          </cell>
          <cell r="D972">
            <v>14.9</v>
          </cell>
          <cell r="E972">
            <v>6.2</v>
          </cell>
          <cell r="J972">
            <v>13.130282805081366</v>
          </cell>
          <cell r="K972">
            <v>1200</v>
          </cell>
          <cell r="P972">
            <v>1618</v>
          </cell>
          <cell r="Q972">
            <v>1.1800000000000002</v>
          </cell>
          <cell r="R972">
            <v>3.2</v>
          </cell>
          <cell r="S972">
            <v>18</v>
          </cell>
          <cell r="T972">
            <v>148</v>
          </cell>
          <cell r="U972">
            <v>10</v>
          </cell>
        </row>
        <row r="973">
          <cell r="A973" t="str">
            <v>KBMS-25H04-B (400 V)</v>
          </cell>
          <cell r="B973">
            <v>53.8</v>
          </cell>
          <cell r="C973">
            <v>27.5</v>
          </cell>
          <cell r="D973">
            <v>14.9</v>
          </cell>
          <cell r="E973">
            <v>6.2</v>
          </cell>
          <cell r="L973">
            <v>11.735024470642415</v>
          </cell>
          <cell r="M973">
            <v>2250</v>
          </cell>
          <cell r="P973">
            <v>2704</v>
          </cell>
          <cell r="Q973">
            <v>1.1800000000000002</v>
          </cell>
          <cell r="R973">
            <v>3.2</v>
          </cell>
          <cell r="S973">
            <v>18</v>
          </cell>
          <cell r="T973">
            <v>148</v>
          </cell>
          <cell r="U973">
            <v>10</v>
          </cell>
        </row>
        <row r="974">
          <cell r="A974" t="str">
            <v>KBMS-25H04-B (480 V)</v>
          </cell>
          <cell r="B974">
            <v>53.8</v>
          </cell>
          <cell r="C974">
            <v>27.5</v>
          </cell>
          <cell r="D974">
            <v>14.9</v>
          </cell>
          <cell r="E974">
            <v>6.2</v>
          </cell>
          <cell r="N974">
            <v>10.92863942564348</v>
          </cell>
          <cell r="O974">
            <v>2700</v>
          </cell>
          <cell r="P974">
            <v>3245</v>
          </cell>
          <cell r="Q974">
            <v>1.1800000000000002</v>
          </cell>
          <cell r="R974">
            <v>3.2</v>
          </cell>
          <cell r="S974">
            <v>18</v>
          </cell>
          <cell r="T974">
            <v>148</v>
          </cell>
          <cell r="U974">
            <v>10</v>
          </cell>
        </row>
        <row r="975">
          <cell r="A975" t="str">
            <v>KBMS-25H04-C (120 V)</v>
          </cell>
          <cell r="B975">
            <v>54.4</v>
          </cell>
          <cell r="C975">
            <v>38.5</v>
          </cell>
          <cell r="D975">
            <v>15.1</v>
          </cell>
          <cell r="E975">
            <v>8.6300000000000008</v>
          </cell>
          <cell r="H975">
            <v>13.687325105903</v>
          </cell>
          <cell r="I975">
            <v>750</v>
          </cell>
          <cell r="P975">
            <v>1060</v>
          </cell>
          <cell r="Q975">
            <v>1.1800000000000002</v>
          </cell>
          <cell r="R975">
            <v>1.66</v>
          </cell>
          <cell r="S975">
            <v>9.6</v>
          </cell>
          <cell r="T975">
            <v>108</v>
          </cell>
          <cell r="U975">
            <v>10</v>
          </cell>
        </row>
        <row r="976">
          <cell r="A976" t="str">
            <v>KBMS-25H04-C (240 V)</v>
          </cell>
          <cell r="B976">
            <v>54.4</v>
          </cell>
          <cell r="C976">
            <v>38.5</v>
          </cell>
          <cell r="D976">
            <v>15.1</v>
          </cell>
          <cell r="E976">
            <v>8.6300000000000008</v>
          </cell>
          <cell r="J976">
            <v>12.638774892591691</v>
          </cell>
          <cell r="K976">
            <v>1700</v>
          </cell>
          <cell r="P976">
            <v>2223</v>
          </cell>
          <cell r="Q976">
            <v>1.1800000000000002</v>
          </cell>
          <cell r="R976">
            <v>1.66</v>
          </cell>
          <cell r="S976">
            <v>9.6</v>
          </cell>
          <cell r="T976">
            <v>108</v>
          </cell>
          <cell r="U976">
            <v>10</v>
          </cell>
        </row>
        <row r="977">
          <cell r="A977" t="str">
            <v>KBMS-25H04-C (400 V)</v>
          </cell>
          <cell r="B977">
            <v>54.4</v>
          </cell>
          <cell r="C977">
            <v>38.5</v>
          </cell>
          <cell r="D977">
            <v>15.1</v>
          </cell>
          <cell r="E977">
            <v>8.6300000000000008</v>
          </cell>
          <cell r="L977">
            <v>10.064655448858906</v>
          </cell>
          <cell r="M977">
            <v>3150</v>
          </cell>
          <cell r="P977">
            <v>3707</v>
          </cell>
          <cell r="Q977">
            <v>1.1800000000000002</v>
          </cell>
          <cell r="R977">
            <v>1.66</v>
          </cell>
          <cell r="S977">
            <v>9.6</v>
          </cell>
          <cell r="T977">
            <v>108</v>
          </cell>
          <cell r="U977">
            <v>10</v>
          </cell>
        </row>
        <row r="978">
          <cell r="A978" t="str">
            <v>KBMS-25H04-C (480 V)</v>
          </cell>
          <cell r="B978">
            <v>54.4</v>
          </cell>
          <cell r="C978">
            <v>38.5</v>
          </cell>
          <cell r="D978">
            <v>15.1</v>
          </cell>
          <cell r="E978">
            <v>8.6300000000000008</v>
          </cell>
          <cell r="N978">
            <v>8.0858978879934362</v>
          </cell>
          <cell r="O978">
            <v>3850</v>
          </cell>
          <cell r="P978">
            <v>4450</v>
          </cell>
          <cell r="Q978">
            <v>1.1800000000000002</v>
          </cell>
          <cell r="R978">
            <v>1.66</v>
          </cell>
          <cell r="S978">
            <v>9.6</v>
          </cell>
          <cell r="T978">
            <v>108</v>
          </cell>
          <cell r="U978">
            <v>10</v>
          </cell>
        </row>
        <row r="979">
          <cell r="A979" t="str">
            <v>KBMS-25H04-D (120 V)</v>
          </cell>
          <cell r="B979">
            <v>54.8</v>
          </cell>
          <cell r="C979">
            <v>48.5</v>
          </cell>
          <cell r="D979">
            <v>15</v>
          </cell>
          <cell r="E979">
            <v>10.7</v>
          </cell>
          <cell r="H979">
            <v>13.369015219719209</v>
          </cell>
          <cell r="I979">
            <v>1000</v>
          </cell>
          <cell r="P979">
            <v>1325</v>
          </cell>
          <cell r="Q979">
            <v>1.1800000000000002</v>
          </cell>
          <cell r="R979">
            <v>1.08</v>
          </cell>
          <cell r="S979">
            <v>6.2</v>
          </cell>
          <cell r="T979">
            <v>87</v>
          </cell>
          <cell r="U979">
            <v>10</v>
          </cell>
        </row>
        <row r="980">
          <cell r="A980" t="str">
            <v>KBMS-25H04-D (240 V)</v>
          </cell>
          <cell r="B980">
            <v>54.8</v>
          </cell>
          <cell r="C980">
            <v>48.5</v>
          </cell>
          <cell r="D980">
            <v>15</v>
          </cell>
          <cell r="E980">
            <v>10.7</v>
          </cell>
          <cell r="J980">
            <v>11.777465788800255</v>
          </cell>
          <cell r="K980">
            <v>2250</v>
          </cell>
          <cell r="P980">
            <v>2776</v>
          </cell>
          <cell r="Q980">
            <v>1.1800000000000002</v>
          </cell>
          <cell r="R980">
            <v>1.08</v>
          </cell>
          <cell r="S980">
            <v>6.2</v>
          </cell>
          <cell r="T980">
            <v>87</v>
          </cell>
          <cell r="U980">
            <v>10</v>
          </cell>
        </row>
        <row r="981">
          <cell r="A981" t="str">
            <v>KBMS-25H04-D (400 V)</v>
          </cell>
          <cell r="B981">
            <v>54.8</v>
          </cell>
          <cell r="C981">
            <v>48.5</v>
          </cell>
          <cell r="D981">
            <v>15</v>
          </cell>
          <cell r="E981">
            <v>10.7</v>
          </cell>
          <cell r="L981">
            <v>6.9376214952587638</v>
          </cell>
          <cell r="M981">
            <v>4150</v>
          </cell>
          <cell r="P981">
            <v>4626</v>
          </cell>
          <cell r="Q981">
            <v>1.1800000000000002</v>
          </cell>
          <cell r="R981">
            <v>1.08</v>
          </cell>
          <cell r="S981">
            <v>6.2</v>
          </cell>
          <cell r="T981">
            <v>87</v>
          </cell>
          <cell r="U981">
            <v>10</v>
          </cell>
        </row>
        <row r="982">
          <cell r="A982" t="str">
            <v>KBMS-25H04-D (480 V)</v>
          </cell>
          <cell r="B982">
            <v>54.8</v>
          </cell>
          <cell r="C982">
            <v>48.5</v>
          </cell>
          <cell r="D982">
            <v>15</v>
          </cell>
          <cell r="E982">
            <v>10.7</v>
          </cell>
          <cell r="N982">
            <v>4.0432128096111288</v>
          </cell>
          <cell r="O982">
            <v>4700</v>
          </cell>
          <cell r="P982">
            <v>5551</v>
          </cell>
          <cell r="Q982">
            <v>1.1800000000000002</v>
          </cell>
          <cell r="R982">
            <v>1.08</v>
          </cell>
          <cell r="S982">
            <v>6.2</v>
          </cell>
          <cell r="T982">
            <v>87</v>
          </cell>
          <cell r="U982">
            <v>10</v>
          </cell>
        </row>
        <row r="983">
          <cell r="A983" t="str">
            <v>KBMS-25H04-E (120 V)</v>
          </cell>
          <cell r="B983">
            <v>53.8</v>
          </cell>
          <cell r="C983">
            <v>62.5</v>
          </cell>
          <cell r="D983">
            <v>14.6</v>
          </cell>
          <cell r="E983">
            <v>13.8</v>
          </cell>
          <cell r="H983">
            <v>12.584608714480584</v>
          </cell>
          <cell r="I983">
            <v>1400</v>
          </cell>
          <cell r="P983">
            <v>1837</v>
          </cell>
          <cell r="Q983">
            <v>1.1800000000000002</v>
          </cell>
          <cell r="R983">
            <v>0.65</v>
          </cell>
          <cell r="S983">
            <v>3.5</v>
          </cell>
          <cell r="T983">
            <v>65.5</v>
          </cell>
          <cell r="U983">
            <v>10</v>
          </cell>
        </row>
        <row r="984">
          <cell r="A984" t="str">
            <v>KBMS-25H04-E (240 V)</v>
          </cell>
          <cell r="B984">
            <v>53.8</v>
          </cell>
          <cell r="C984">
            <v>62.5</v>
          </cell>
          <cell r="D984">
            <v>14.6</v>
          </cell>
          <cell r="E984">
            <v>13.8</v>
          </cell>
          <cell r="J984">
            <v>9.9719703688069501</v>
          </cell>
          <cell r="K984">
            <v>3050</v>
          </cell>
          <cell r="P984">
            <v>3681</v>
          </cell>
          <cell r="Q984">
            <v>1.1800000000000002</v>
          </cell>
          <cell r="R984">
            <v>0.65</v>
          </cell>
          <cell r="S984">
            <v>3.5</v>
          </cell>
          <cell r="T984">
            <v>65.5</v>
          </cell>
          <cell r="U984">
            <v>10</v>
          </cell>
        </row>
        <row r="985">
          <cell r="A985" t="str">
            <v>KBMS-25H04-E (400 V)</v>
          </cell>
          <cell r="B985">
            <v>53.8</v>
          </cell>
          <cell r="C985">
            <v>62.5</v>
          </cell>
          <cell r="D985">
            <v>14.6</v>
          </cell>
          <cell r="E985">
            <v>13.8</v>
          </cell>
          <cell r="L985">
            <v>4.5670548887239537</v>
          </cell>
          <cell r="M985">
            <v>4600</v>
          </cell>
          <cell r="P985">
            <v>6135</v>
          </cell>
          <cell r="Q985">
            <v>1.1800000000000002</v>
          </cell>
          <cell r="R985">
            <v>0.65</v>
          </cell>
          <cell r="S985">
            <v>3.5</v>
          </cell>
          <cell r="T985">
            <v>65.5</v>
          </cell>
          <cell r="U985">
            <v>10</v>
          </cell>
        </row>
        <row r="986">
          <cell r="A986" t="str">
            <v>KBMS-25H04-F (120 V)</v>
          </cell>
          <cell r="B986">
            <v>54.1</v>
          </cell>
          <cell r="C986">
            <v>89</v>
          </cell>
          <cell r="D986">
            <v>14.5</v>
          </cell>
          <cell r="E986">
            <v>19.399999999999999</v>
          </cell>
          <cell r="H986">
            <v>11.793381283109445</v>
          </cell>
          <cell r="I986">
            <v>2000</v>
          </cell>
          <cell r="P986">
            <v>2495</v>
          </cell>
          <cell r="Q986">
            <v>1.1800000000000002</v>
          </cell>
          <cell r="R986">
            <v>0.33</v>
          </cell>
          <cell r="S986">
            <v>1.8</v>
          </cell>
          <cell r="T986">
            <v>46.3</v>
          </cell>
          <cell r="U986">
            <v>10</v>
          </cell>
        </row>
        <row r="987">
          <cell r="A987" t="str">
            <v>KBMS-25H04-F (240 V)</v>
          </cell>
          <cell r="B987">
            <v>54.1</v>
          </cell>
          <cell r="C987">
            <v>89</v>
          </cell>
          <cell r="D987">
            <v>14.5</v>
          </cell>
          <cell r="E987">
            <v>19.399999999999999</v>
          </cell>
          <cell r="J987">
            <v>4.8481044203377346</v>
          </cell>
          <cell r="K987">
            <v>4550</v>
          </cell>
          <cell r="P987">
            <v>5206</v>
          </cell>
          <cell r="Q987">
            <v>1.1800000000000002</v>
          </cell>
          <cell r="R987">
            <v>0.33</v>
          </cell>
          <cell r="S987">
            <v>1.8</v>
          </cell>
          <cell r="T987">
            <v>46.3</v>
          </cell>
          <cell r="U987">
            <v>10</v>
          </cell>
        </row>
        <row r="988">
          <cell r="A988" t="str">
            <v>KBMS-25H04-G (120 V)</v>
          </cell>
          <cell r="B988">
            <v>54.5</v>
          </cell>
          <cell r="C988">
            <v>98</v>
          </cell>
          <cell r="D988">
            <v>14</v>
          </cell>
          <cell r="E988">
            <v>20.3</v>
          </cell>
          <cell r="H988">
            <v>11.77006323330761</v>
          </cell>
          <cell r="I988">
            <v>2150</v>
          </cell>
          <cell r="P988">
            <v>2701</v>
          </cell>
          <cell r="Q988">
            <v>1.1800000000000002</v>
          </cell>
          <cell r="R988">
            <v>0.3</v>
          </cell>
          <cell r="S988">
            <v>1.5</v>
          </cell>
          <cell r="T988">
            <v>42.8</v>
          </cell>
          <cell r="U988">
            <v>10</v>
          </cell>
        </row>
        <row r="989">
          <cell r="A989" t="str">
            <v>KBMS-25H04-G (240 V)</v>
          </cell>
          <cell r="B989">
            <v>54.5</v>
          </cell>
          <cell r="C989">
            <v>98</v>
          </cell>
          <cell r="D989">
            <v>14</v>
          </cell>
          <cell r="E989">
            <v>20.3</v>
          </cell>
          <cell r="J989">
            <v>4.8473059841683774</v>
          </cell>
          <cell r="K989">
            <v>4600</v>
          </cell>
          <cell r="P989">
            <v>5637</v>
          </cell>
          <cell r="Q989">
            <v>1.1800000000000002</v>
          </cell>
          <cell r="R989">
            <v>0.3</v>
          </cell>
          <cell r="S989">
            <v>1.5</v>
          </cell>
          <cell r="T989">
            <v>42.8</v>
          </cell>
          <cell r="U989">
            <v>10</v>
          </cell>
        </row>
        <row r="990">
          <cell r="A990" t="str">
            <v>KBMS-35H01-A (120 V)</v>
          </cell>
          <cell r="B990">
            <v>40.799999999999997</v>
          </cell>
          <cell r="C990">
            <v>21.9</v>
          </cell>
          <cell r="D990">
            <v>12.6</v>
          </cell>
          <cell r="E990">
            <v>5.41</v>
          </cell>
          <cell r="H990">
            <v>11.650141834326739</v>
          </cell>
          <cell r="I990">
            <v>500</v>
          </cell>
          <cell r="P990">
            <v>798</v>
          </cell>
          <cell r="Q990">
            <v>2.17</v>
          </cell>
          <cell r="R990">
            <v>4.13</v>
          </cell>
          <cell r="S990">
            <v>32</v>
          </cell>
          <cell r="T990">
            <v>144</v>
          </cell>
          <cell r="U990">
            <v>10</v>
          </cell>
        </row>
        <row r="991">
          <cell r="A991" t="str">
            <v>KBMS-35H01-A (240 V)</v>
          </cell>
          <cell r="B991">
            <v>40.799999999999997</v>
          </cell>
          <cell r="C991">
            <v>21.9</v>
          </cell>
          <cell r="D991">
            <v>12.6</v>
          </cell>
          <cell r="E991">
            <v>5.41</v>
          </cell>
          <cell r="J991">
            <v>11.459155902616464</v>
          </cell>
          <cell r="K991">
            <v>1200</v>
          </cell>
          <cell r="P991">
            <v>1675</v>
          </cell>
          <cell r="Q991">
            <v>2.17</v>
          </cell>
          <cell r="R991">
            <v>4.13</v>
          </cell>
          <cell r="S991">
            <v>32</v>
          </cell>
          <cell r="T991">
            <v>144</v>
          </cell>
          <cell r="U991">
            <v>10</v>
          </cell>
        </row>
        <row r="992">
          <cell r="A992" t="str">
            <v>KBMS-35H01-A (400 V)</v>
          </cell>
          <cell r="B992">
            <v>40.799999999999997</v>
          </cell>
          <cell r="C992">
            <v>21.9</v>
          </cell>
          <cell r="D992">
            <v>12.6</v>
          </cell>
          <cell r="E992">
            <v>5.41</v>
          </cell>
          <cell r="L992">
            <v>10.926171907145932</v>
          </cell>
          <cell r="M992">
            <v>2150</v>
          </cell>
          <cell r="P992">
            <v>2795</v>
          </cell>
          <cell r="Q992">
            <v>2.17</v>
          </cell>
          <cell r="R992">
            <v>4.13</v>
          </cell>
          <cell r="S992">
            <v>32</v>
          </cell>
          <cell r="T992">
            <v>144</v>
          </cell>
          <cell r="U992">
            <v>10</v>
          </cell>
        </row>
        <row r="993">
          <cell r="A993" t="str">
            <v>KBMS-35H01-A (480 V)</v>
          </cell>
          <cell r="B993">
            <v>40.799999999999997</v>
          </cell>
          <cell r="C993">
            <v>21.9</v>
          </cell>
          <cell r="D993">
            <v>12.6</v>
          </cell>
          <cell r="E993">
            <v>5.41</v>
          </cell>
          <cell r="N993">
            <v>10.504226244065093</v>
          </cell>
          <cell r="O993">
            <v>2700</v>
          </cell>
          <cell r="P993">
            <v>3353</v>
          </cell>
          <cell r="Q993">
            <v>2.17</v>
          </cell>
          <cell r="R993">
            <v>4.13</v>
          </cell>
          <cell r="S993">
            <v>32</v>
          </cell>
          <cell r="T993">
            <v>144</v>
          </cell>
          <cell r="U993">
            <v>10</v>
          </cell>
        </row>
        <row r="994">
          <cell r="A994" t="str">
            <v>KBMS-35H01-B (120 V)</v>
          </cell>
          <cell r="B994">
            <v>41.4</v>
          </cell>
          <cell r="C994">
            <v>24.5</v>
          </cell>
          <cell r="D994">
            <v>12.45</v>
          </cell>
          <cell r="E994">
            <v>6.1</v>
          </cell>
          <cell r="H994">
            <v>11.632779476898532</v>
          </cell>
          <cell r="I994">
            <v>550</v>
          </cell>
          <cell r="P994">
            <v>901</v>
          </cell>
          <cell r="Q994">
            <v>2.17</v>
          </cell>
          <cell r="R994">
            <v>3.3</v>
          </cell>
          <cell r="S994">
            <v>25</v>
          </cell>
          <cell r="T994">
            <v>127</v>
          </cell>
          <cell r="U994">
            <v>10</v>
          </cell>
        </row>
        <row r="995">
          <cell r="A995" t="str">
            <v>KBMS-35H01-B (240 V)</v>
          </cell>
          <cell r="B995">
            <v>41.4</v>
          </cell>
          <cell r="C995">
            <v>24.5</v>
          </cell>
          <cell r="D995">
            <v>12.45</v>
          </cell>
          <cell r="E995">
            <v>6.1</v>
          </cell>
          <cell r="J995">
            <v>11.275515583664278</v>
          </cell>
          <cell r="K995">
            <v>1300</v>
          </cell>
          <cell r="P995">
            <v>1892</v>
          </cell>
          <cell r="Q995">
            <v>2.17</v>
          </cell>
          <cell r="R995">
            <v>3.3</v>
          </cell>
          <cell r="S995">
            <v>25</v>
          </cell>
          <cell r="T995">
            <v>127</v>
          </cell>
          <cell r="U995">
            <v>10</v>
          </cell>
        </row>
        <row r="996">
          <cell r="A996" t="str">
            <v>KBMS-35H01-B (400 V)</v>
          </cell>
          <cell r="B996">
            <v>41.4</v>
          </cell>
          <cell r="C996">
            <v>24.5</v>
          </cell>
          <cell r="D996">
            <v>12.45</v>
          </cell>
          <cell r="E996">
            <v>6.1</v>
          </cell>
          <cell r="L996">
            <v>10.646449810232319</v>
          </cell>
          <cell r="M996">
            <v>2350</v>
          </cell>
          <cell r="P996">
            <v>3153</v>
          </cell>
          <cell r="Q996">
            <v>2.17</v>
          </cell>
          <cell r="R996">
            <v>3.3</v>
          </cell>
          <cell r="S996">
            <v>25</v>
          </cell>
          <cell r="T996">
            <v>127</v>
          </cell>
          <cell r="U996">
            <v>10</v>
          </cell>
        </row>
        <row r="997">
          <cell r="A997" t="str">
            <v>KBMS-35H01-B (480 V)</v>
          </cell>
          <cell r="B997">
            <v>41.4</v>
          </cell>
          <cell r="C997">
            <v>24.5</v>
          </cell>
          <cell r="D997">
            <v>12.45</v>
          </cell>
          <cell r="E997">
            <v>6.1</v>
          </cell>
          <cell r="N997">
            <v>10.207868763825012</v>
          </cell>
          <cell r="O997">
            <v>2900</v>
          </cell>
          <cell r="P997">
            <v>3783</v>
          </cell>
          <cell r="Q997">
            <v>2.17</v>
          </cell>
          <cell r="R997">
            <v>3.3</v>
          </cell>
          <cell r="S997">
            <v>25</v>
          </cell>
          <cell r="T997">
            <v>127</v>
          </cell>
          <cell r="U997">
            <v>10</v>
          </cell>
        </row>
        <row r="998">
          <cell r="A998" t="str">
            <v>KBMS-35H01-C (120 V)</v>
          </cell>
          <cell r="B998">
            <v>40.799999999999997</v>
          </cell>
          <cell r="C998">
            <v>34.700000000000003</v>
          </cell>
          <cell r="D998">
            <v>12.45</v>
          </cell>
          <cell r="E998">
            <v>8.32</v>
          </cell>
          <cell r="H998">
            <v>11.482589759268032</v>
          </cell>
          <cell r="I998">
            <v>815</v>
          </cell>
          <cell r="P998">
            <v>1242</v>
          </cell>
          <cell r="Q998">
            <v>2.17</v>
          </cell>
          <cell r="R998">
            <v>1.75</v>
          </cell>
          <cell r="S998">
            <v>13.4</v>
          </cell>
          <cell r="T998">
            <v>93</v>
          </cell>
          <cell r="U998">
            <v>10</v>
          </cell>
        </row>
        <row r="999">
          <cell r="A999" t="str">
            <v>KBMS-35H01-C (240 V)</v>
          </cell>
          <cell r="B999">
            <v>40.799999999999997</v>
          </cell>
          <cell r="C999">
            <v>34.700000000000003</v>
          </cell>
          <cell r="D999">
            <v>12.45</v>
          </cell>
          <cell r="E999">
            <v>8.32</v>
          </cell>
          <cell r="J999">
            <v>10.976501238239955</v>
          </cell>
          <cell r="K999">
            <v>1840</v>
          </cell>
          <cell r="P999">
            <v>2600</v>
          </cell>
          <cell r="Q999">
            <v>2.17</v>
          </cell>
          <cell r="R999">
            <v>1.75</v>
          </cell>
          <cell r="S999">
            <v>13.4</v>
          </cell>
          <cell r="T999">
            <v>93</v>
          </cell>
          <cell r="U999">
            <v>10</v>
          </cell>
        </row>
        <row r="1000">
          <cell r="A1000" t="str">
            <v>KBMS-35H01-C (400 V)</v>
          </cell>
          <cell r="B1000">
            <v>40.799999999999997</v>
          </cell>
          <cell r="C1000">
            <v>34.700000000000003</v>
          </cell>
          <cell r="D1000">
            <v>12.45</v>
          </cell>
          <cell r="E1000">
            <v>8.32</v>
          </cell>
          <cell r="L1000">
            <v>9.6876921882023268</v>
          </cell>
          <cell r="M1000">
            <v>3450</v>
          </cell>
          <cell r="P1000">
            <v>4334</v>
          </cell>
          <cell r="Q1000">
            <v>2.17</v>
          </cell>
          <cell r="R1000">
            <v>1.75</v>
          </cell>
          <cell r="S1000">
            <v>13.4</v>
          </cell>
          <cell r="T1000">
            <v>93</v>
          </cell>
          <cell r="U1000">
            <v>10</v>
          </cell>
        </row>
        <row r="1001">
          <cell r="A1001" t="str">
            <v>KBMS-35H01-C (480 V)</v>
          </cell>
          <cell r="B1001">
            <v>40.799999999999997</v>
          </cell>
          <cell r="C1001">
            <v>34.700000000000003</v>
          </cell>
          <cell r="D1001">
            <v>12.45</v>
          </cell>
          <cell r="E1001">
            <v>8.32</v>
          </cell>
          <cell r="N1001">
            <v>8.8330993416001924</v>
          </cell>
          <cell r="O1001">
            <v>4200</v>
          </cell>
          <cell r="P1001">
            <v>5201</v>
          </cell>
          <cell r="Q1001">
            <v>2.17</v>
          </cell>
          <cell r="R1001">
            <v>1.75</v>
          </cell>
          <cell r="S1001">
            <v>13.4</v>
          </cell>
          <cell r="T1001">
            <v>93</v>
          </cell>
          <cell r="U1001">
            <v>10</v>
          </cell>
        </row>
        <row r="1002">
          <cell r="A1002" t="str">
            <v>KBMS-35H01-D (120 V)</v>
          </cell>
          <cell r="B1002">
            <v>41.2</v>
          </cell>
          <cell r="C1002">
            <v>43.5</v>
          </cell>
          <cell r="D1002">
            <v>12.65</v>
          </cell>
          <cell r="E1002">
            <v>10.57</v>
          </cell>
          <cell r="H1002">
            <v>11.589373583328015</v>
          </cell>
          <cell r="I1002">
            <v>1100</v>
          </cell>
          <cell r="P1002">
            <v>1556</v>
          </cell>
          <cell r="Q1002">
            <v>2.17</v>
          </cell>
          <cell r="R1002">
            <v>1.08</v>
          </cell>
          <cell r="S1002">
            <v>8.5</v>
          </cell>
          <cell r="T1002">
            <v>74</v>
          </cell>
          <cell r="U1002">
            <v>10</v>
          </cell>
        </row>
        <row r="1003">
          <cell r="A1003" t="str">
            <v>KBMS-35H01-D (240 V)</v>
          </cell>
          <cell r="B1003">
            <v>41.2</v>
          </cell>
          <cell r="C1003">
            <v>43.5</v>
          </cell>
          <cell r="D1003">
            <v>12.65</v>
          </cell>
          <cell r="E1003">
            <v>10.57</v>
          </cell>
          <cell r="J1003">
            <v>10.757574928986886</v>
          </cell>
          <cell r="K1003">
            <v>2450</v>
          </cell>
          <cell r="P1003">
            <v>3252</v>
          </cell>
          <cell r="Q1003">
            <v>2.17</v>
          </cell>
          <cell r="R1003">
            <v>1.08</v>
          </cell>
          <cell r="S1003">
            <v>8.5</v>
          </cell>
          <cell r="T1003">
            <v>74</v>
          </cell>
          <cell r="U1003">
            <v>10</v>
          </cell>
        </row>
        <row r="1004">
          <cell r="A1004" t="str">
            <v>KBMS-35H01-D (400 V)</v>
          </cell>
          <cell r="B1004">
            <v>41.2</v>
          </cell>
          <cell r="C1004">
            <v>43.5</v>
          </cell>
          <cell r="D1004">
            <v>12.65</v>
          </cell>
          <cell r="E1004">
            <v>10.57</v>
          </cell>
          <cell r="L1004">
            <v>8.4999233343583658</v>
          </cell>
          <cell r="M1004">
            <v>4550</v>
          </cell>
          <cell r="P1004">
            <v>5420</v>
          </cell>
          <cell r="Q1004">
            <v>2.17</v>
          </cell>
          <cell r="R1004">
            <v>1.08</v>
          </cell>
          <cell r="S1004">
            <v>8.5</v>
          </cell>
          <cell r="T1004">
            <v>74</v>
          </cell>
          <cell r="U1004">
            <v>10</v>
          </cell>
        </row>
        <row r="1005">
          <cell r="A1005" t="str">
            <v>KBMS-35H01-D (480 V)</v>
          </cell>
          <cell r="B1005">
            <v>41.2</v>
          </cell>
          <cell r="C1005">
            <v>43.5</v>
          </cell>
          <cell r="D1005">
            <v>12.65</v>
          </cell>
          <cell r="E1005">
            <v>10.57</v>
          </cell>
          <cell r="N1005">
            <v>6.1741141716683536</v>
          </cell>
          <cell r="O1005">
            <v>5800</v>
          </cell>
          <cell r="P1005">
            <v>6505</v>
          </cell>
          <cell r="Q1005">
            <v>2.17</v>
          </cell>
          <cell r="R1005">
            <v>1.08</v>
          </cell>
          <cell r="S1005">
            <v>8.5</v>
          </cell>
          <cell r="T1005">
            <v>74</v>
          </cell>
          <cell r="U1005">
            <v>10</v>
          </cell>
        </row>
        <row r="1006">
          <cell r="A1006" t="str">
            <v>KBMS-35H01-E (120 V)</v>
          </cell>
          <cell r="B1006">
            <v>41.1</v>
          </cell>
          <cell r="C1006">
            <v>55.4</v>
          </cell>
          <cell r="D1006">
            <v>12.2</v>
          </cell>
          <cell r="E1006">
            <v>12.8</v>
          </cell>
          <cell r="H1006">
            <v>10.777063289365486</v>
          </cell>
          <cell r="I1006">
            <v>1400</v>
          </cell>
          <cell r="P1006">
            <v>1996</v>
          </cell>
          <cell r="Q1006">
            <v>2.17</v>
          </cell>
          <cell r="R1006">
            <v>0.74</v>
          </cell>
          <cell r="S1006">
            <v>5.4</v>
          </cell>
          <cell r="T1006">
            <v>57.8</v>
          </cell>
          <cell r="U1006">
            <v>10</v>
          </cell>
        </row>
        <row r="1007">
          <cell r="A1007" t="str">
            <v>KBMS-35H01-E (240 V)</v>
          </cell>
          <cell r="B1007">
            <v>41.1</v>
          </cell>
          <cell r="C1007">
            <v>55.4</v>
          </cell>
          <cell r="D1007">
            <v>12.2</v>
          </cell>
          <cell r="E1007">
            <v>12.8</v>
          </cell>
          <cell r="J1007">
            <v>9.5955028593145926</v>
          </cell>
          <cell r="K1007">
            <v>3100</v>
          </cell>
          <cell r="P1007">
            <v>4166</v>
          </cell>
          <cell r="Q1007">
            <v>2.17</v>
          </cell>
          <cell r="R1007">
            <v>0.74</v>
          </cell>
          <cell r="S1007">
            <v>5.4</v>
          </cell>
          <cell r="T1007">
            <v>57.8</v>
          </cell>
          <cell r="U1007">
            <v>10</v>
          </cell>
        </row>
        <row r="1008">
          <cell r="A1008" t="str">
            <v>KBMS-35H01-E (400 V)</v>
          </cell>
          <cell r="B1008">
            <v>41.1</v>
          </cell>
          <cell r="C1008">
            <v>55.4</v>
          </cell>
          <cell r="D1008">
            <v>12.2</v>
          </cell>
          <cell r="E1008">
            <v>12.8</v>
          </cell>
          <cell r="L1008">
            <v>5.1268764455012183</v>
          </cell>
          <cell r="M1008">
            <v>6100</v>
          </cell>
          <cell r="P1008">
            <v>6943</v>
          </cell>
          <cell r="Q1008">
            <v>2.17</v>
          </cell>
          <cell r="R1008">
            <v>0.74</v>
          </cell>
          <cell r="S1008">
            <v>5.4</v>
          </cell>
          <cell r="T1008">
            <v>57.8</v>
          </cell>
          <cell r="U1008">
            <v>10</v>
          </cell>
        </row>
        <row r="1009">
          <cell r="A1009" t="str">
            <v>KBMS-35H01-F (120 V)</v>
          </cell>
          <cell r="B1009">
            <v>41.1</v>
          </cell>
          <cell r="C1009">
            <v>62.1</v>
          </cell>
          <cell r="D1009">
            <v>12.4</v>
          </cell>
          <cell r="E1009">
            <v>14.58</v>
          </cell>
          <cell r="H1009">
            <v>11.071215728829969</v>
          </cell>
          <cell r="I1009">
            <v>1600</v>
          </cell>
          <cell r="P1009">
            <v>2288</v>
          </cell>
          <cell r="Q1009">
            <v>2.17</v>
          </cell>
          <cell r="R1009">
            <v>0.56999999999999995</v>
          </cell>
          <cell r="S1009">
            <v>4.4000000000000004</v>
          </cell>
          <cell r="T1009">
            <v>52.6</v>
          </cell>
          <cell r="U1009">
            <v>10</v>
          </cell>
        </row>
        <row r="1010">
          <cell r="A1010" t="str">
            <v>KBMS-35H01-F (240 V)</v>
          </cell>
          <cell r="B1010">
            <v>41.1</v>
          </cell>
          <cell r="C1010">
            <v>62.1</v>
          </cell>
          <cell r="D1010">
            <v>12.4</v>
          </cell>
          <cell r="E1010">
            <v>14.58</v>
          </cell>
          <cell r="J1010">
            <v>9.4962449378164226</v>
          </cell>
          <cell r="K1010">
            <v>3600</v>
          </cell>
          <cell r="P1010">
            <v>4576</v>
          </cell>
          <cell r="Q1010">
            <v>2.17</v>
          </cell>
          <cell r="R1010">
            <v>0.56999999999999995</v>
          </cell>
          <cell r="S1010">
            <v>4.4000000000000004</v>
          </cell>
          <cell r="T1010">
            <v>52.6</v>
          </cell>
          <cell r="U1010">
            <v>10</v>
          </cell>
        </row>
        <row r="1011">
          <cell r="A1011" t="str">
            <v>KBMS-35H01-F (400 V)</v>
          </cell>
          <cell r="B1011">
            <v>41.1</v>
          </cell>
          <cell r="C1011">
            <v>62.1</v>
          </cell>
          <cell r="D1011">
            <v>12.4</v>
          </cell>
          <cell r="E1011">
            <v>14.58</v>
          </cell>
          <cell r="L1011">
            <v>3.7039695846841094</v>
          </cell>
          <cell r="M1011">
            <v>6600</v>
          </cell>
          <cell r="P1011">
            <v>7200</v>
          </cell>
          <cell r="Q1011">
            <v>2.17</v>
          </cell>
          <cell r="R1011">
            <v>0.56999999999999995</v>
          </cell>
          <cell r="S1011">
            <v>4.4000000000000004</v>
          </cell>
          <cell r="T1011">
            <v>52.6</v>
          </cell>
          <cell r="U1011">
            <v>10</v>
          </cell>
        </row>
        <row r="1012">
          <cell r="A1012" t="str">
            <v>KBMS-35H01-G (120 V)</v>
          </cell>
          <cell r="B1012">
            <v>41.2</v>
          </cell>
          <cell r="C1012">
            <v>87.4</v>
          </cell>
          <cell r="D1012">
            <v>12.4</v>
          </cell>
          <cell r="E1012">
            <v>20.100000000000001</v>
          </cell>
          <cell r="H1012">
            <v>10.605814505613111</v>
          </cell>
          <cell r="I1012">
            <v>2350</v>
          </cell>
          <cell r="P1012">
            <v>3026</v>
          </cell>
          <cell r="Q1012">
            <v>2.17</v>
          </cell>
          <cell r="R1012">
            <v>0.3</v>
          </cell>
          <cell r="S1012">
            <v>2.2000000000000002</v>
          </cell>
          <cell r="T1012">
            <v>38.1</v>
          </cell>
          <cell r="U1012">
            <v>10</v>
          </cell>
        </row>
        <row r="1013">
          <cell r="A1013" t="str">
            <v>KBMS-35H01-G (240 V)</v>
          </cell>
          <cell r="B1013">
            <v>41.2</v>
          </cell>
          <cell r="C1013">
            <v>87.4</v>
          </cell>
          <cell r="D1013">
            <v>12.4</v>
          </cell>
          <cell r="E1013">
            <v>20.100000000000001</v>
          </cell>
          <cell r="J1013">
            <v>7.1259373576805212</v>
          </cell>
          <cell r="K1013">
            <v>5300</v>
          </cell>
          <cell r="P1013">
            <v>6316</v>
          </cell>
          <cell r="Q1013">
            <v>2.17</v>
          </cell>
          <cell r="R1013">
            <v>0.3</v>
          </cell>
          <cell r="S1013">
            <v>2.2000000000000002</v>
          </cell>
          <cell r="T1013">
            <v>38.1</v>
          </cell>
          <cell r="U1013">
            <v>10</v>
          </cell>
        </row>
        <row r="1014">
          <cell r="A1014" t="str">
            <v>KBMS-35H01-H (120 V)</v>
          </cell>
          <cell r="B1014">
            <v>41.4</v>
          </cell>
          <cell r="C1014">
            <v>98</v>
          </cell>
          <cell r="D1014">
            <v>12.2</v>
          </cell>
          <cell r="E1014">
            <v>21.2</v>
          </cell>
          <cell r="H1014">
            <v>10.313240312354818</v>
          </cell>
          <cell r="I1014">
            <v>2500</v>
          </cell>
          <cell r="P1014">
            <v>3237</v>
          </cell>
          <cell r="Q1014">
            <v>2.17</v>
          </cell>
          <cell r="R1014">
            <v>0.27</v>
          </cell>
          <cell r="S1014">
            <v>1.6</v>
          </cell>
          <cell r="T1014">
            <v>35.700000000000003</v>
          </cell>
          <cell r="U1014">
            <v>10</v>
          </cell>
        </row>
        <row r="1015">
          <cell r="A1015" t="str">
            <v>KBMS-35H01-H (240 V)</v>
          </cell>
          <cell r="B1015">
            <v>41.4</v>
          </cell>
          <cell r="C1015">
            <v>98</v>
          </cell>
          <cell r="D1015">
            <v>12.2</v>
          </cell>
          <cell r="E1015">
            <v>21.2</v>
          </cell>
          <cell r="J1015">
            <v>6.3605136185653901</v>
          </cell>
          <cell r="K1015">
            <v>5600</v>
          </cell>
          <cell r="P1015">
            <v>6756</v>
          </cell>
          <cell r="Q1015">
            <v>2.17</v>
          </cell>
          <cell r="R1015">
            <v>0.27</v>
          </cell>
          <cell r="S1015">
            <v>1.6</v>
          </cell>
          <cell r="T1015">
            <v>35.700000000000003</v>
          </cell>
          <cell r="U1015">
            <v>10</v>
          </cell>
        </row>
        <row r="1016">
          <cell r="A1016" t="str">
            <v>KBMS-35H02-A (120 V)</v>
          </cell>
          <cell r="B1016">
            <v>58.8</v>
          </cell>
          <cell r="C1016">
            <v>22.5</v>
          </cell>
          <cell r="D1016">
            <v>17.3</v>
          </cell>
          <cell r="E1016">
            <v>4.97</v>
          </cell>
          <cell r="H1016">
            <v>16.160348067792452</v>
          </cell>
          <cell r="I1016">
            <v>325</v>
          </cell>
          <cell r="P1016">
            <v>531</v>
          </cell>
          <cell r="Q1016">
            <v>2.94</v>
          </cell>
          <cell r="R1016">
            <v>5.5</v>
          </cell>
          <cell r="S1016">
            <v>44</v>
          </cell>
          <cell r="T1016">
            <v>215</v>
          </cell>
          <cell r="U1016">
            <v>10</v>
          </cell>
        </row>
        <row r="1017">
          <cell r="A1017" t="str">
            <v>KBMS-35H02-A (240 V)</v>
          </cell>
          <cell r="B1017">
            <v>58.8</v>
          </cell>
          <cell r="C1017">
            <v>22.5</v>
          </cell>
          <cell r="D1017">
            <v>17.3</v>
          </cell>
          <cell r="E1017">
            <v>4.97</v>
          </cell>
          <cell r="J1017">
            <v>15.875705573416559</v>
          </cell>
          <cell r="K1017">
            <v>800</v>
          </cell>
          <cell r="P1017">
            <v>1114</v>
          </cell>
          <cell r="Q1017">
            <v>2.94</v>
          </cell>
          <cell r="R1017">
            <v>5.5</v>
          </cell>
          <cell r="S1017">
            <v>44</v>
          </cell>
          <cell r="T1017">
            <v>215</v>
          </cell>
          <cell r="U1017">
            <v>10</v>
          </cell>
        </row>
        <row r="1018">
          <cell r="A1018" t="str">
            <v>KBMS-35H02-A (400 V)</v>
          </cell>
          <cell r="B1018">
            <v>58.8</v>
          </cell>
          <cell r="C1018">
            <v>22.5</v>
          </cell>
          <cell r="D1018">
            <v>17.3</v>
          </cell>
          <cell r="E1018">
            <v>4.97</v>
          </cell>
          <cell r="L1018">
            <v>15.311803145737517</v>
          </cell>
          <cell r="M1018">
            <v>1450</v>
          </cell>
          <cell r="P1018">
            <v>1863</v>
          </cell>
          <cell r="Q1018">
            <v>2.94</v>
          </cell>
          <cell r="R1018">
            <v>5.5</v>
          </cell>
          <cell r="S1018">
            <v>44</v>
          </cell>
          <cell r="T1018">
            <v>215</v>
          </cell>
          <cell r="U1018">
            <v>10</v>
          </cell>
        </row>
        <row r="1019">
          <cell r="A1019" t="str">
            <v>KBMS-35H02-A (480 V)</v>
          </cell>
          <cell r="B1019">
            <v>58.8</v>
          </cell>
          <cell r="C1019">
            <v>22.5</v>
          </cell>
          <cell r="D1019">
            <v>17.3</v>
          </cell>
          <cell r="E1019">
            <v>4.97</v>
          </cell>
          <cell r="N1019">
            <v>15.006037491521562</v>
          </cell>
          <cell r="O1019">
            <v>1750</v>
          </cell>
          <cell r="P1019">
            <v>2235</v>
          </cell>
          <cell r="Q1019">
            <v>2.94</v>
          </cell>
          <cell r="R1019">
            <v>5.5</v>
          </cell>
          <cell r="S1019">
            <v>44</v>
          </cell>
          <cell r="T1019">
            <v>215</v>
          </cell>
          <cell r="U1019">
            <v>10</v>
          </cell>
        </row>
        <row r="1020">
          <cell r="A1020" t="str">
            <v>KBMS-35H02-B (120 V)</v>
          </cell>
          <cell r="B1020">
            <v>58.8</v>
          </cell>
          <cell r="C1020">
            <v>28</v>
          </cell>
          <cell r="D1020">
            <v>17.600000000000001</v>
          </cell>
          <cell r="E1020">
            <v>6.3</v>
          </cell>
          <cell r="H1020">
            <v>16.472536610011169</v>
          </cell>
          <cell r="I1020">
            <v>400</v>
          </cell>
          <cell r="P1020">
            <v>661</v>
          </cell>
          <cell r="Q1020">
            <v>2.94</v>
          </cell>
          <cell r="R1020">
            <v>3.43</v>
          </cell>
          <cell r="S1020">
            <v>28</v>
          </cell>
          <cell r="T1020">
            <v>174</v>
          </cell>
          <cell r="U1020">
            <v>10</v>
          </cell>
        </row>
        <row r="1021">
          <cell r="A1021" t="str">
            <v>KBMS-35H02-B (240 V)</v>
          </cell>
          <cell r="B1021">
            <v>58.8</v>
          </cell>
          <cell r="C1021">
            <v>28</v>
          </cell>
          <cell r="D1021">
            <v>17.600000000000001</v>
          </cell>
          <cell r="E1021">
            <v>6.3</v>
          </cell>
          <cell r="J1021">
            <v>16.083025828233634</v>
          </cell>
          <cell r="K1021">
            <v>950</v>
          </cell>
          <cell r="P1021">
            <v>1386</v>
          </cell>
          <cell r="Q1021">
            <v>2.94</v>
          </cell>
          <cell r="R1021">
            <v>3.43</v>
          </cell>
          <cell r="S1021">
            <v>28</v>
          </cell>
          <cell r="T1021">
            <v>174</v>
          </cell>
          <cell r="U1021">
            <v>10</v>
          </cell>
        </row>
        <row r="1022">
          <cell r="A1022" t="str">
            <v>KBMS-35H02-B (400 V)</v>
          </cell>
          <cell r="B1022">
            <v>58.8</v>
          </cell>
          <cell r="C1022">
            <v>28</v>
          </cell>
          <cell r="D1022">
            <v>17.600000000000001</v>
          </cell>
          <cell r="E1022">
            <v>6.3</v>
          </cell>
          <cell r="L1022">
            <v>15.305400360670603</v>
          </cell>
          <cell r="M1022">
            <v>1800</v>
          </cell>
          <cell r="P1022">
            <v>2313</v>
          </cell>
          <cell r="Q1022">
            <v>2.94</v>
          </cell>
          <cell r="R1022">
            <v>3.43</v>
          </cell>
          <cell r="S1022">
            <v>28</v>
          </cell>
          <cell r="T1022">
            <v>174</v>
          </cell>
          <cell r="U1022">
            <v>10</v>
          </cell>
        </row>
        <row r="1023">
          <cell r="A1023" t="str">
            <v>KBMS-35H02-B (480 V)</v>
          </cell>
          <cell r="B1023">
            <v>58.8</v>
          </cell>
          <cell r="C1023">
            <v>28</v>
          </cell>
          <cell r="D1023">
            <v>17.600000000000001</v>
          </cell>
          <cell r="E1023">
            <v>6.3</v>
          </cell>
          <cell r="N1023">
            <v>14.823112654331526</v>
          </cell>
          <cell r="O1023">
            <v>2200</v>
          </cell>
          <cell r="P1023">
            <v>2776</v>
          </cell>
          <cell r="Q1023">
            <v>2.94</v>
          </cell>
          <cell r="R1023">
            <v>3.43</v>
          </cell>
          <cell r="S1023">
            <v>28</v>
          </cell>
          <cell r="T1023">
            <v>174</v>
          </cell>
          <cell r="U1023">
            <v>10</v>
          </cell>
        </row>
        <row r="1024">
          <cell r="A1024" t="str">
            <v>KBMS-35H02-C (120 V)</v>
          </cell>
          <cell r="B1024">
            <v>59.2</v>
          </cell>
          <cell r="C1024">
            <v>39.200000000000003</v>
          </cell>
          <cell r="D1024">
            <v>17.5</v>
          </cell>
          <cell r="E1024">
            <v>8.6999999999999993</v>
          </cell>
          <cell r="H1024">
            <v>16.119212636347161</v>
          </cell>
          <cell r="I1024">
            <v>625</v>
          </cell>
          <cell r="P1024">
            <v>923</v>
          </cell>
          <cell r="Q1024">
            <v>2.94</v>
          </cell>
          <cell r="R1024">
            <v>1.8</v>
          </cell>
          <cell r="S1024">
            <v>14.6</v>
          </cell>
          <cell r="T1024">
            <v>124</v>
          </cell>
          <cell r="U1024">
            <v>10</v>
          </cell>
        </row>
        <row r="1025">
          <cell r="A1025" t="str">
            <v>KBMS-35H02-C (240 V)</v>
          </cell>
          <cell r="B1025">
            <v>59.2</v>
          </cell>
          <cell r="C1025">
            <v>39.200000000000003</v>
          </cell>
          <cell r="D1025">
            <v>17.5</v>
          </cell>
          <cell r="E1025">
            <v>8.6999999999999993</v>
          </cell>
          <cell r="J1025">
            <v>15.48350232079725</v>
          </cell>
          <cell r="K1025">
            <v>1400</v>
          </cell>
          <cell r="P1025">
            <v>1935</v>
          </cell>
          <cell r="Q1025">
            <v>2.94</v>
          </cell>
          <cell r="R1025">
            <v>1.8</v>
          </cell>
          <cell r="S1025">
            <v>14.6</v>
          </cell>
          <cell r="T1025">
            <v>124</v>
          </cell>
          <cell r="U1025">
            <v>10</v>
          </cell>
        </row>
        <row r="1026">
          <cell r="A1026" t="str">
            <v>KBMS-35H02-C (400 V)</v>
          </cell>
          <cell r="B1026">
            <v>59.2</v>
          </cell>
          <cell r="C1026">
            <v>39.200000000000003</v>
          </cell>
          <cell r="D1026">
            <v>17.5</v>
          </cell>
          <cell r="E1026">
            <v>8.6999999999999993</v>
          </cell>
          <cell r="L1026">
            <v>14.155427879702691</v>
          </cell>
          <cell r="M1026">
            <v>2550</v>
          </cell>
          <cell r="P1026">
            <v>3224</v>
          </cell>
          <cell r="Q1026">
            <v>2.94</v>
          </cell>
          <cell r="R1026">
            <v>1.8</v>
          </cell>
          <cell r="S1026">
            <v>14.6</v>
          </cell>
          <cell r="T1026">
            <v>124</v>
          </cell>
          <cell r="U1026">
            <v>10</v>
          </cell>
        </row>
        <row r="1027">
          <cell r="A1027" t="str">
            <v>KBMS-35H02-C (480 V)</v>
          </cell>
          <cell r="B1027">
            <v>59.2</v>
          </cell>
          <cell r="C1027">
            <v>39.200000000000003</v>
          </cell>
          <cell r="D1027">
            <v>17.5</v>
          </cell>
          <cell r="E1027">
            <v>8.6999999999999993</v>
          </cell>
          <cell r="N1027">
            <v>13.100441253251635</v>
          </cell>
          <cell r="O1027">
            <v>3200</v>
          </cell>
          <cell r="P1027">
            <v>3869</v>
          </cell>
          <cell r="Q1027">
            <v>2.94</v>
          </cell>
          <cell r="R1027">
            <v>1.8</v>
          </cell>
          <cell r="S1027">
            <v>14.6</v>
          </cell>
          <cell r="T1027">
            <v>124</v>
          </cell>
          <cell r="U1027">
            <v>10</v>
          </cell>
        </row>
        <row r="1028">
          <cell r="A1028" t="str">
            <v>KBMS-35H02-D (120 V)</v>
          </cell>
          <cell r="B1028">
            <v>59.4</v>
          </cell>
          <cell r="C1028">
            <v>49.5</v>
          </cell>
          <cell r="D1028">
            <v>17.45</v>
          </cell>
          <cell r="E1028">
            <v>10.92</v>
          </cell>
          <cell r="H1028">
            <v>15.952942531093511</v>
          </cell>
          <cell r="I1028">
            <v>850</v>
          </cell>
          <cell r="P1028">
            <v>1165</v>
          </cell>
          <cell r="Q1028">
            <v>2.94</v>
          </cell>
          <cell r="R1028">
            <v>1.1399999999999999</v>
          </cell>
          <cell r="S1028">
            <v>9.3000000000000007</v>
          </cell>
          <cell r="T1028">
            <v>99</v>
          </cell>
          <cell r="U1028">
            <v>10</v>
          </cell>
        </row>
        <row r="1029">
          <cell r="A1029" t="str">
            <v>KBMS-35H02-D (240 V)</v>
          </cell>
          <cell r="B1029">
            <v>59.4</v>
          </cell>
          <cell r="C1029">
            <v>49.5</v>
          </cell>
          <cell r="D1029">
            <v>17.45</v>
          </cell>
          <cell r="E1029">
            <v>10.92</v>
          </cell>
          <cell r="J1029">
            <v>15.020785439916175</v>
          </cell>
          <cell r="K1029">
            <v>1850</v>
          </cell>
          <cell r="P1029">
            <v>2437</v>
          </cell>
          <cell r="Q1029">
            <v>2.94</v>
          </cell>
          <cell r="R1029">
            <v>1.1399999999999999</v>
          </cell>
          <cell r="S1029">
            <v>9.3000000000000007</v>
          </cell>
          <cell r="T1029">
            <v>99</v>
          </cell>
          <cell r="U1029">
            <v>10</v>
          </cell>
        </row>
        <row r="1030">
          <cell r="A1030" t="str">
            <v>KBMS-35H02-D (400 V)</v>
          </cell>
          <cell r="B1030">
            <v>59.4</v>
          </cell>
          <cell r="C1030">
            <v>49.5</v>
          </cell>
          <cell r="D1030">
            <v>17.45</v>
          </cell>
          <cell r="E1030">
            <v>10.92</v>
          </cell>
          <cell r="L1030">
            <v>12.441369265697876</v>
          </cell>
          <cell r="M1030">
            <v>3500</v>
          </cell>
          <cell r="P1030">
            <v>4061</v>
          </cell>
          <cell r="Q1030">
            <v>2.94</v>
          </cell>
          <cell r="R1030">
            <v>1.1399999999999999</v>
          </cell>
          <cell r="S1030">
            <v>9.3000000000000007</v>
          </cell>
          <cell r="T1030">
            <v>99</v>
          </cell>
          <cell r="U1030">
            <v>10</v>
          </cell>
        </row>
        <row r="1031">
          <cell r="A1031" t="str">
            <v>KBMS-35H02-D (480 V)</v>
          </cell>
          <cell r="B1031">
            <v>59.4</v>
          </cell>
          <cell r="C1031">
            <v>49.5</v>
          </cell>
          <cell r="D1031">
            <v>17.45</v>
          </cell>
          <cell r="E1031">
            <v>10.92</v>
          </cell>
          <cell r="N1031">
            <v>10.548641577020971</v>
          </cell>
          <cell r="O1031">
            <v>4300</v>
          </cell>
          <cell r="P1031">
            <v>4873</v>
          </cell>
          <cell r="Q1031">
            <v>2.94</v>
          </cell>
          <cell r="R1031">
            <v>1.1399999999999999</v>
          </cell>
          <cell r="S1031">
            <v>9.3000000000000007</v>
          </cell>
          <cell r="T1031">
            <v>99</v>
          </cell>
          <cell r="U1031">
            <v>10</v>
          </cell>
        </row>
        <row r="1032">
          <cell r="A1032" t="str">
            <v>KBMS-35H02-E (120 V)</v>
          </cell>
          <cell r="B1032">
            <v>59.4</v>
          </cell>
          <cell r="C1032">
            <v>55.4</v>
          </cell>
          <cell r="D1032">
            <v>17.100000000000001</v>
          </cell>
          <cell r="E1032">
            <v>12</v>
          </cell>
          <cell r="H1032">
            <v>15.580431271101332</v>
          </cell>
          <cell r="I1032">
            <v>950</v>
          </cell>
          <cell r="P1032">
            <v>1305</v>
          </cell>
          <cell r="Q1032">
            <v>2.94</v>
          </cell>
          <cell r="R1032">
            <v>0.94</v>
          </cell>
          <cell r="S1032">
            <v>7.4</v>
          </cell>
          <cell r="T1032">
            <v>88.4</v>
          </cell>
          <cell r="U1032">
            <v>10</v>
          </cell>
        </row>
        <row r="1033">
          <cell r="A1033" t="str">
            <v>KBMS-35H02-E (240 V)</v>
          </cell>
          <cell r="B1033">
            <v>59.4</v>
          </cell>
          <cell r="C1033">
            <v>55.4</v>
          </cell>
          <cell r="D1033">
            <v>17.100000000000001</v>
          </cell>
          <cell r="E1033">
            <v>12</v>
          </cell>
          <cell r="J1033">
            <v>14.533563583806249</v>
          </cell>
          <cell r="K1033">
            <v>2050</v>
          </cell>
          <cell r="P1033">
            <v>2728</v>
          </cell>
          <cell r="Q1033">
            <v>2.94</v>
          </cell>
          <cell r="R1033">
            <v>0.94</v>
          </cell>
          <cell r="S1033">
            <v>7.4</v>
          </cell>
          <cell r="T1033">
            <v>88.4</v>
          </cell>
          <cell r="U1033">
            <v>10</v>
          </cell>
        </row>
        <row r="1034">
          <cell r="A1034" t="str">
            <v>KBMS-35H02-E (400 V)</v>
          </cell>
          <cell r="B1034">
            <v>59.4</v>
          </cell>
          <cell r="C1034">
            <v>55.4</v>
          </cell>
          <cell r="D1034">
            <v>17.100000000000001</v>
          </cell>
          <cell r="E1034">
            <v>12</v>
          </cell>
          <cell r="L1034">
            <v>11.496360954248335</v>
          </cell>
          <cell r="M1034">
            <v>3850</v>
          </cell>
          <cell r="P1034">
            <v>4547</v>
          </cell>
          <cell r="Q1034">
            <v>2.94</v>
          </cell>
          <cell r="R1034">
            <v>0.94</v>
          </cell>
          <cell r="S1034">
            <v>7.4</v>
          </cell>
          <cell r="T1034">
            <v>88.4</v>
          </cell>
          <cell r="U1034">
            <v>10</v>
          </cell>
        </row>
        <row r="1035">
          <cell r="A1035" t="str">
            <v>KBMS-35H02-E (480 V)</v>
          </cell>
          <cell r="B1035">
            <v>59.4</v>
          </cell>
          <cell r="C1035">
            <v>55.4</v>
          </cell>
          <cell r="D1035">
            <v>17.100000000000001</v>
          </cell>
          <cell r="E1035">
            <v>12</v>
          </cell>
          <cell r="N1035">
            <v>9.1226258870120436</v>
          </cell>
          <cell r="O1035">
            <v>4700</v>
          </cell>
          <cell r="P1035">
            <v>5457</v>
          </cell>
          <cell r="Q1035">
            <v>2.94</v>
          </cell>
          <cell r="R1035">
            <v>0.94</v>
          </cell>
          <cell r="S1035">
            <v>7.4</v>
          </cell>
          <cell r="T1035">
            <v>88.4</v>
          </cell>
          <cell r="U1035">
            <v>10</v>
          </cell>
        </row>
        <row r="1036">
          <cell r="A1036" t="str">
            <v>KBMS-35H02-F (120 V)</v>
          </cell>
          <cell r="B1036">
            <v>59.4</v>
          </cell>
          <cell r="C1036">
            <v>69</v>
          </cell>
          <cell r="D1036">
            <v>17.3</v>
          </cell>
          <cell r="E1036">
            <v>14.92</v>
          </cell>
          <cell r="H1036">
            <v>15.597184423005743</v>
          </cell>
          <cell r="I1036">
            <v>1200</v>
          </cell>
          <cell r="P1036">
            <v>1607</v>
          </cell>
          <cell r="Q1036">
            <v>2.94</v>
          </cell>
          <cell r="R1036">
            <v>0.61</v>
          </cell>
          <cell r="S1036">
            <v>4.9000000000000004</v>
          </cell>
          <cell r="T1036">
            <v>72.099999999999994</v>
          </cell>
          <cell r="U1036">
            <v>10</v>
          </cell>
        </row>
        <row r="1037">
          <cell r="A1037" t="str">
            <v>KBMS-35H02-F (240 V)</v>
          </cell>
          <cell r="B1037">
            <v>59.4</v>
          </cell>
          <cell r="C1037">
            <v>69</v>
          </cell>
          <cell r="D1037">
            <v>17.3</v>
          </cell>
          <cell r="E1037">
            <v>14.92</v>
          </cell>
          <cell r="J1037">
            <v>13.873506360085971</v>
          </cell>
          <cell r="K1037">
            <v>2650</v>
          </cell>
          <cell r="P1037">
            <v>3356</v>
          </cell>
          <cell r="Q1037">
            <v>2.94</v>
          </cell>
          <cell r="R1037">
            <v>0.61</v>
          </cell>
          <cell r="S1037">
            <v>4.9000000000000004</v>
          </cell>
          <cell r="T1037">
            <v>72.099999999999994</v>
          </cell>
          <cell r="U1037">
            <v>10</v>
          </cell>
        </row>
        <row r="1038">
          <cell r="A1038" t="str">
            <v>KBMS-35H02-F (400 V)</v>
          </cell>
          <cell r="B1038">
            <v>59.4</v>
          </cell>
          <cell r="C1038">
            <v>69</v>
          </cell>
          <cell r="D1038">
            <v>17.3</v>
          </cell>
          <cell r="E1038">
            <v>14.92</v>
          </cell>
          <cell r="L1038">
            <v>7.6956096012669395</v>
          </cell>
          <cell r="M1038">
            <v>5100</v>
          </cell>
          <cell r="P1038">
            <v>5593</v>
          </cell>
          <cell r="Q1038">
            <v>2.94</v>
          </cell>
          <cell r="R1038">
            <v>0.61</v>
          </cell>
          <cell r="S1038">
            <v>4.9000000000000004</v>
          </cell>
          <cell r="T1038">
            <v>72.099999999999994</v>
          </cell>
          <cell r="U1038">
            <v>10</v>
          </cell>
        </row>
        <row r="1039">
          <cell r="A1039" t="str">
            <v>KBMS-35H02-F (480 V)</v>
          </cell>
          <cell r="B1039">
            <v>59.4</v>
          </cell>
          <cell r="C1039">
            <v>69</v>
          </cell>
          <cell r="D1039">
            <v>17.3</v>
          </cell>
          <cell r="E1039">
            <v>14.92</v>
          </cell>
          <cell r="N1039">
            <v>6.2689363695640994</v>
          </cell>
          <cell r="O1039">
            <v>5400</v>
          </cell>
          <cell r="P1039">
            <v>6711</v>
          </cell>
          <cell r="Q1039">
            <v>2.94</v>
          </cell>
          <cell r="R1039">
            <v>0.61</v>
          </cell>
          <cell r="S1039">
            <v>4.9000000000000004</v>
          </cell>
          <cell r="T1039">
            <v>72.099999999999994</v>
          </cell>
          <cell r="U1039">
            <v>10</v>
          </cell>
        </row>
        <row r="1040">
          <cell r="A1040" t="str">
            <v>KBMS-35H02-G (120 V)</v>
          </cell>
          <cell r="B1040">
            <v>59.4</v>
          </cell>
          <cell r="C1040">
            <v>86.5</v>
          </cell>
          <cell r="D1040">
            <v>17.100000000000001</v>
          </cell>
          <cell r="E1040">
            <v>18.64</v>
          </cell>
          <cell r="H1040">
            <v>15.094049441618461</v>
          </cell>
          <cell r="I1040">
            <v>1550</v>
          </cell>
          <cell r="P1040">
            <v>2032</v>
          </cell>
          <cell r="Q1040">
            <v>2.94</v>
          </cell>
          <cell r="R1040">
            <v>0.39</v>
          </cell>
          <cell r="S1040">
            <v>3.1</v>
          </cell>
          <cell r="T1040">
            <v>57</v>
          </cell>
          <cell r="U1040">
            <v>10</v>
          </cell>
        </row>
        <row r="1041">
          <cell r="A1041" t="str">
            <v>KBMS-35H02-G (240 V)</v>
          </cell>
          <cell r="B1041">
            <v>59.4</v>
          </cell>
          <cell r="C1041">
            <v>86.5</v>
          </cell>
          <cell r="D1041">
            <v>17.100000000000001</v>
          </cell>
          <cell r="E1041">
            <v>18.64</v>
          </cell>
          <cell r="J1041">
            <v>12.44217172759582</v>
          </cell>
          <cell r="K1041">
            <v>3400</v>
          </cell>
          <cell r="P1041">
            <v>4241</v>
          </cell>
          <cell r="Q1041">
            <v>2.94</v>
          </cell>
          <cell r="R1041">
            <v>0.39</v>
          </cell>
          <cell r="S1041">
            <v>3.1</v>
          </cell>
          <cell r="T1041">
            <v>57</v>
          </cell>
          <cell r="U1041">
            <v>10</v>
          </cell>
        </row>
        <row r="1042">
          <cell r="A1042" t="str">
            <v>KBMS-35H02-G (400 V)</v>
          </cell>
          <cell r="B1042">
            <v>59.4</v>
          </cell>
          <cell r="C1042">
            <v>86.5</v>
          </cell>
          <cell r="D1042">
            <v>17.100000000000001</v>
          </cell>
          <cell r="E1042">
            <v>18.64</v>
          </cell>
          <cell r="L1042">
            <v>3.6056826762543186</v>
          </cell>
          <cell r="M1042">
            <v>5800</v>
          </cell>
          <cell r="P1042">
            <v>7068</v>
          </cell>
          <cell r="Q1042">
            <v>2.94</v>
          </cell>
          <cell r="R1042">
            <v>0.39</v>
          </cell>
          <cell r="S1042">
            <v>3.1</v>
          </cell>
          <cell r="T1042">
            <v>57</v>
          </cell>
          <cell r="U1042">
            <v>10</v>
          </cell>
        </row>
        <row r="1043">
          <cell r="A1043" t="str">
            <v>KBMS-35H03-A (120 V)</v>
          </cell>
          <cell r="B1043">
            <v>76.099999999999994</v>
          </cell>
          <cell r="C1043">
            <v>46.1</v>
          </cell>
          <cell r="D1043">
            <v>21.8</v>
          </cell>
          <cell r="E1043">
            <v>10.199999999999999</v>
          </cell>
          <cell r="H1043">
            <v>20.567715722644937</v>
          </cell>
          <cell r="I1043">
            <v>650</v>
          </cell>
          <cell r="P1043">
            <v>867</v>
          </cell>
          <cell r="Q1043">
            <v>3.7</v>
          </cell>
          <cell r="R1043">
            <v>1.41</v>
          </cell>
          <cell r="S1043">
            <v>12</v>
          </cell>
          <cell r="T1043">
            <v>132</v>
          </cell>
          <cell r="U1043">
            <v>10</v>
          </cell>
        </row>
        <row r="1044">
          <cell r="A1044" t="str">
            <v>KBMS-35H03-A (240 V)</v>
          </cell>
          <cell r="B1044">
            <v>76.099999999999994</v>
          </cell>
          <cell r="C1044">
            <v>46.1</v>
          </cell>
          <cell r="D1044">
            <v>21.8</v>
          </cell>
          <cell r="E1044">
            <v>10.199999999999999</v>
          </cell>
          <cell r="J1044">
            <v>19.644267261628229</v>
          </cell>
          <cell r="K1044">
            <v>1400</v>
          </cell>
          <cell r="P1044">
            <v>1818</v>
          </cell>
          <cell r="Q1044">
            <v>3.7</v>
          </cell>
          <cell r="R1044">
            <v>1.41</v>
          </cell>
          <cell r="S1044">
            <v>12</v>
          </cell>
          <cell r="T1044">
            <v>132</v>
          </cell>
          <cell r="U1044">
            <v>10</v>
          </cell>
        </row>
        <row r="1045">
          <cell r="A1045" t="str">
            <v>KBMS-35H03-A (400 V)</v>
          </cell>
          <cell r="B1045">
            <v>76.099999999999994</v>
          </cell>
          <cell r="C1045">
            <v>46.1</v>
          </cell>
          <cell r="D1045">
            <v>21.8</v>
          </cell>
          <cell r="E1045">
            <v>10.199999999999999</v>
          </cell>
          <cell r="L1045">
            <v>17.188733853924695</v>
          </cell>
          <cell r="M1045">
            <v>2550</v>
          </cell>
          <cell r="P1045">
            <v>3029</v>
          </cell>
          <cell r="Q1045">
            <v>3.7</v>
          </cell>
          <cell r="R1045">
            <v>1.41</v>
          </cell>
          <cell r="S1045">
            <v>12</v>
          </cell>
          <cell r="T1045">
            <v>132</v>
          </cell>
          <cell r="U1045">
            <v>10</v>
          </cell>
        </row>
        <row r="1046">
          <cell r="A1046" t="str">
            <v>KBMS-35H03-A (480 V)</v>
          </cell>
          <cell r="B1046">
            <v>76.099999999999994</v>
          </cell>
          <cell r="C1046">
            <v>46.1</v>
          </cell>
          <cell r="D1046">
            <v>21.8</v>
          </cell>
          <cell r="E1046">
            <v>10.199999999999999</v>
          </cell>
          <cell r="N1046">
            <v>15.586916362161105</v>
          </cell>
          <cell r="O1046">
            <v>3100</v>
          </cell>
          <cell r="P1046">
            <v>3635</v>
          </cell>
          <cell r="Q1046">
            <v>3.7</v>
          </cell>
          <cell r="R1046">
            <v>1.41</v>
          </cell>
          <cell r="S1046">
            <v>12</v>
          </cell>
          <cell r="T1046">
            <v>132</v>
          </cell>
          <cell r="U1046">
            <v>10</v>
          </cell>
        </row>
        <row r="1047">
          <cell r="A1047" t="str">
            <v>KBMS-35H03-B (120 V)</v>
          </cell>
          <cell r="B1047">
            <v>76.599999999999994</v>
          </cell>
          <cell r="C1047">
            <v>64</v>
          </cell>
          <cell r="D1047">
            <v>21.7</v>
          </cell>
          <cell r="E1047">
            <v>14</v>
          </cell>
          <cell r="H1047">
            <v>19.629109648000426</v>
          </cell>
          <cell r="I1047">
            <v>900</v>
          </cell>
          <cell r="P1047">
            <v>1197</v>
          </cell>
          <cell r="Q1047">
            <v>3.7</v>
          </cell>
          <cell r="R1047">
            <v>0.75</v>
          </cell>
          <cell r="S1047">
            <v>6.2</v>
          </cell>
          <cell r="T1047">
            <v>96.2</v>
          </cell>
          <cell r="U1047">
            <v>10</v>
          </cell>
        </row>
        <row r="1048">
          <cell r="A1048" t="str">
            <v>KBMS-35H03-B (240 V)</v>
          </cell>
          <cell r="B1048">
            <v>76.599999999999994</v>
          </cell>
          <cell r="C1048">
            <v>64</v>
          </cell>
          <cell r="D1048">
            <v>21.7</v>
          </cell>
          <cell r="E1048">
            <v>14</v>
          </cell>
          <cell r="J1048">
            <v>17.910753839658661</v>
          </cell>
          <cell r="K1048">
            <v>2050</v>
          </cell>
          <cell r="P1048">
            <v>2504</v>
          </cell>
          <cell r="Q1048">
            <v>3.7</v>
          </cell>
          <cell r="R1048">
            <v>0.75</v>
          </cell>
          <cell r="S1048">
            <v>6.2</v>
          </cell>
          <cell r="T1048">
            <v>96.2</v>
          </cell>
          <cell r="U1048">
            <v>10</v>
          </cell>
        </row>
        <row r="1049">
          <cell r="A1049" t="str">
            <v>KBMS-35H03-B (400 V)</v>
          </cell>
          <cell r="B1049">
            <v>76.599999999999994</v>
          </cell>
          <cell r="C1049">
            <v>64</v>
          </cell>
          <cell r="D1049">
            <v>21.7</v>
          </cell>
          <cell r="E1049">
            <v>14</v>
          </cell>
          <cell r="L1049">
            <v>13.105153077224749</v>
          </cell>
          <cell r="M1049">
            <v>3800</v>
          </cell>
          <cell r="P1049">
            <v>4173</v>
          </cell>
          <cell r="Q1049">
            <v>3.7</v>
          </cell>
          <cell r="R1049">
            <v>0.75</v>
          </cell>
          <cell r="S1049">
            <v>6.2</v>
          </cell>
          <cell r="T1049">
            <v>96.2</v>
          </cell>
          <cell r="U1049">
            <v>10</v>
          </cell>
        </row>
        <row r="1050">
          <cell r="A1050" t="str">
            <v>KBMS-35H03-B (480 V)</v>
          </cell>
          <cell r="B1050">
            <v>76.599999999999994</v>
          </cell>
          <cell r="C1050">
            <v>64</v>
          </cell>
          <cell r="D1050">
            <v>21.7</v>
          </cell>
          <cell r="E1050">
            <v>14</v>
          </cell>
          <cell r="N1050">
            <v>10.26549382942725</v>
          </cell>
          <cell r="O1050">
            <v>4800</v>
          </cell>
          <cell r="P1050">
            <v>5007</v>
          </cell>
          <cell r="Q1050">
            <v>3.7</v>
          </cell>
          <cell r="R1050">
            <v>0.75</v>
          </cell>
          <cell r="S1050">
            <v>6.2</v>
          </cell>
          <cell r="T1050">
            <v>96.2</v>
          </cell>
          <cell r="U1050">
            <v>10</v>
          </cell>
        </row>
        <row r="1051">
          <cell r="A1051" t="str">
            <v>KBMS-35H03-C (120 V)</v>
          </cell>
          <cell r="B1051">
            <v>75.2</v>
          </cell>
          <cell r="C1051">
            <v>93</v>
          </cell>
          <cell r="D1051">
            <v>20.7</v>
          </cell>
          <cell r="E1051">
            <v>20.2</v>
          </cell>
          <cell r="H1051">
            <v>18.044877685729375</v>
          </cell>
          <cell r="I1051">
            <v>1450</v>
          </cell>
          <cell r="P1051">
            <v>1813</v>
          </cell>
          <cell r="Q1051">
            <v>3.7</v>
          </cell>
          <cell r="R1051">
            <v>0.36</v>
          </cell>
          <cell r="S1051">
            <v>2.8</v>
          </cell>
          <cell r="T1051">
            <v>63.6</v>
          </cell>
          <cell r="U1051">
            <v>10</v>
          </cell>
        </row>
        <row r="1052">
          <cell r="A1052" t="str">
            <v>KBMS-35H03-C (240 V)</v>
          </cell>
          <cell r="B1052">
            <v>75.2</v>
          </cell>
          <cell r="C1052">
            <v>93</v>
          </cell>
          <cell r="D1052">
            <v>20.7</v>
          </cell>
          <cell r="E1052">
            <v>20.2</v>
          </cell>
          <cell r="J1052">
            <v>14.724399251211478</v>
          </cell>
          <cell r="K1052">
            <v>3100</v>
          </cell>
          <cell r="P1052">
            <v>3783</v>
          </cell>
          <cell r="Q1052">
            <v>3.7</v>
          </cell>
          <cell r="R1052">
            <v>0.36</v>
          </cell>
          <cell r="S1052">
            <v>2.8</v>
          </cell>
          <cell r="T1052">
            <v>63.6</v>
          </cell>
          <cell r="U1052">
            <v>10</v>
          </cell>
        </row>
        <row r="1053">
          <cell r="A1053" t="str">
            <v>KBMS-35H03-C (400 V)</v>
          </cell>
          <cell r="B1053">
            <v>75.2</v>
          </cell>
          <cell r="C1053">
            <v>93</v>
          </cell>
          <cell r="D1053">
            <v>20.7</v>
          </cell>
          <cell r="E1053">
            <v>20.2</v>
          </cell>
          <cell r="L1053">
            <v>5.7009300615516914</v>
          </cell>
          <cell r="M1053">
            <v>5000</v>
          </cell>
          <cell r="P1053">
            <v>6305</v>
          </cell>
          <cell r="Q1053">
            <v>3.7</v>
          </cell>
          <cell r="R1053">
            <v>0.36</v>
          </cell>
          <cell r="S1053">
            <v>2.8</v>
          </cell>
          <cell r="T1053">
            <v>63.6</v>
          </cell>
          <cell r="U1053">
            <v>10</v>
          </cell>
        </row>
        <row r="1054">
          <cell r="A1054" t="str">
            <v>KBMS-35H03-D (120 V)</v>
          </cell>
          <cell r="B1054">
            <v>75.7</v>
          </cell>
          <cell r="C1054">
            <v>104</v>
          </cell>
          <cell r="D1054">
            <v>20</v>
          </cell>
          <cell r="E1054">
            <v>21.5</v>
          </cell>
          <cell r="H1054">
            <v>17.188733853924695</v>
          </cell>
          <cell r="I1054">
            <v>1550</v>
          </cell>
          <cell r="P1054">
            <v>1996</v>
          </cell>
          <cell r="Q1054">
            <v>3.7</v>
          </cell>
          <cell r="R1054">
            <v>0.32</v>
          </cell>
          <cell r="S1054">
            <v>2.2999999999999998</v>
          </cell>
          <cell r="T1054">
            <v>57.8</v>
          </cell>
          <cell r="U1054">
            <v>10</v>
          </cell>
        </row>
        <row r="1055">
          <cell r="A1055" t="str">
            <v>KBMS-35H03-D (240 V)</v>
          </cell>
          <cell r="B1055">
            <v>75.7</v>
          </cell>
          <cell r="C1055">
            <v>104</v>
          </cell>
          <cell r="D1055">
            <v>20</v>
          </cell>
          <cell r="E1055">
            <v>21.5</v>
          </cell>
          <cell r="J1055">
            <v>13.298799803649256</v>
          </cell>
          <cell r="K1055">
            <v>3400</v>
          </cell>
          <cell r="P1055">
            <v>4166</v>
          </cell>
          <cell r="Q1055">
            <v>3.7</v>
          </cell>
          <cell r="R1055">
            <v>0.32</v>
          </cell>
          <cell r="S1055">
            <v>2.2999999999999998</v>
          </cell>
          <cell r="T1055">
            <v>57.8</v>
          </cell>
          <cell r="U1055">
            <v>10</v>
          </cell>
        </row>
        <row r="1056">
          <cell r="A1056" t="str">
            <v>KBMS-35H04-A (120 V)</v>
          </cell>
          <cell r="B1056">
            <v>92.3</v>
          </cell>
          <cell r="C1056">
            <v>49</v>
          </cell>
          <cell r="D1056">
            <v>25.6</v>
          </cell>
          <cell r="E1056">
            <v>10.86</v>
          </cell>
          <cell r="H1056">
            <v>23.786429676643269</v>
          </cell>
          <cell r="I1056">
            <v>550</v>
          </cell>
          <cell r="P1056">
            <v>778</v>
          </cell>
          <cell r="Q1056">
            <v>4.4600000000000009</v>
          </cell>
          <cell r="R1056">
            <v>1.35</v>
          </cell>
          <cell r="S1056">
            <v>11</v>
          </cell>
          <cell r="T1056">
            <v>147</v>
          </cell>
          <cell r="U1056">
            <v>10</v>
          </cell>
        </row>
        <row r="1057">
          <cell r="A1057" t="str">
            <v>KBMS-35H04-A (240 V)</v>
          </cell>
          <cell r="B1057">
            <v>92.3</v>
          </cell>
          <cell r="C1057">
            <v>49</v>
          </cell>
          <cell r="D1057">
            <v>25.6</v>
          </cell>
          <cell r="E1057">
            <v>10.86</v>
          </cell>
          <cell r="J1057">
            <v>22.612734314496489</v>
          </cell>
          <cell r="K1057">
            <v>1250</v>
          </cell>
          <cell r="P1057">
            <v>1633</v>
          </cell>
          <cell r="Q1057">
            <v>4.4600000000000009</v>
          </cell>
          <cell r="R1057">
            <v>1.35</v>
          </cell>
          <cell r="S1057">
            <v>11</v>
          </cell>
          <cell r="T1057">
            <v>147</v>
          </cell>
          <cell r="U1057">
            <v>10</v>
          </cell>
        </row>
        <row r="1058">
          <cell r="A1058" t="str">
            <v>KBMS-35H04-A (400 V)</v>
          </cell>
          <cell r="B1058">
            <v>92.3</v>
          </cell>
          <cell r="C1058">
            <v>49</v>
          </cell>
          <cell r="D1058">
            <v>25.6</v>
          </cell>
          <cell r="E1058">
            <v>10.86</v>
          </cell>
          <cell r="L1058">
            <v>20.136560191191975</v>
          </cell>
          <cell r="M1058">
            <v>2300</v>
          </cell>
          <cell r="P1058">
            <v>2721</v>
          </cell>
          <cell r="Q1058">
            <v>4.4600000000000009</v>
          </cell>
          <cell r="R1058">
            <v>1.35</v>
          </cell>
          <cell r="S1058">
            <v>11</v>
          </cell>
          <cell r="T1058">
            <v>147</v>
          </cell>
          <cell r="U1058">
            <v>10</v>
          </cell>
        </row>
        <row r="1059">
          <cell r="A1059" t="str">
            <v>KBMS-35H04-A (480 V)</v>
          </cell>
          <cell r="B1059">
            <v>92.3</v>
          </cell>
          <cell r="C1059">
            <v>49</v>
          </cell>
          <cell r="D1059">
            <v>25.6</v>
          </cell>
          <cell r="E1059">
            <v>10.86</v>
          </cell>
          <cell r="N1059">
            <v>18.416500557776462</v>
          </cell>
          <cell r="O1059">
            <v>2800</v>
          </cell>
          <cell r="P1059">
            <v>3266</v>
          </cell>
          <cell r="Q1059">
            <v>4.4600000000000009</v>
          </cell>
          <cell r="R1059">
            <v>1.35</v>
          </cell>
          <cell r="S1059">
            <v>11</v>
          </cell>
          <cell r="T1059">
            <v>147</v>
          </cell>
          <cell r="U1059">
            <v>10</v>
          </cell>
        </row>
        <row r="1060">
          <cell r="A1060" t="str">
            <v>KBMS-35H04-B (120 V)</v>
          </cell>
          <cell r="B1060">
            <v>93</v>
          </cell>
          <cell r="C1060">
            <v>61</v>
          </cell>
          <cell r="D1060">
            <v>25.9</v>
          </cell>
          <cell r="E1060">
            <v>13.3</v>
          </cell>
          <cell r="H1060">
            <v>23.708598419206478</v>
          </cell>
          <cell r="I1060">
            <v>725</v>
          </cell>
          <cell r="P1060">
            <v>948</v>
          </cell>
          <cell r="Q1060">
            <v>4.4600000000000009</v>
          </cell>
          <cell r="R1060">
            <v>0.9</v>
          </cell>
          <cell r="S1060">
            <v>7.6</v>
          </cell>
          <cell r="T1060">
            <v>122</v>
          </cell>
          <cell r="U1060">
            <v>10</v>
          </cell>
        </row>
        <row r="1061">
          <cell r="A1061" t="str">
            <v>KBMS-35H04-B (240 V)</v>
          </cell>
          <cell r="B1061">
            <v>93</v>
          </cell>
          <cell r="C1061">
            <v>61</v>
          </cell>
          <cell r="D1061">
            <v>25.9</v>
          </cell>
          <cell r="E1061">
            <v>13.3</v>
          </cell>
          <cell r="J1061">
            <v>22.117403059351133</v>
          </cell>
          <cell r="K1061">
            <v>1550</v>
          </cell>
          <cell r="P1061">
            <v>1984</v>
          </cell>
          <cell r="Q1061">
            <v>4.4600000000000009</v>
          </cell>
          <cell r="R1061">
            <v>0.9</v>
          </cell>
          <cell r="S1061">
            <v>7.6</v>
          </cell>
          <cell r="T1061">
            <v>122</v>
          </cell>
          <cell r="U1061">
            <v>10</v>
          </cell>
        </row>
        <row r="1062">
          <cell r="A1062" t="str">
            <v>KBMS-35H04-B (400 V)</v>
          </cell>
          <cell r="B1062">
            <v>93</v>
          </cell>
          <cell r="C1062">
            <v>61</v>
          </cell>
          <cell r="D1062">
            <v>25.9</v>
          </cell>
          <cell r="E1062">
            <v>13.3</v>
          </cell>
          <cell r="L1062">
            <v>18.327948183424581</v>
          </cell>
          <cell r="M1062">
            <v>2850</v>
          </cell>
          <cell r="P1062">
            <v>3307</v>
          </cell>
          <cell r="Q1062">
            <v>4.4600000000000009</v>
          </cell>
          <cell r="R1062">
            <v>0.9</v>
          </cell>
          <cell r="S1062">
            <v>7.6</v>
          </cell>
          <cell r="T1062">
            <v>122</v>
          </cell>
          <cell r="U1062">
            <v>10</v>
          </cell>
        </row>
        <row r="1063">
          <cell r="A1063" t="str">
            <v>KBMS-35H04-B (480 V)</v>
          </cell>
          <cell r="B1063">
            <v>93</v>
          </cell>
          <cell r="C1063">
            <v>61</v>
          </cell>
          <cell r="D1063">
            <v>25.9</v>
          </cell>
          <cell r="E1063">
            <v>13.3</v>
          </cell>
          <cell r="N1063">
            <v>16.149545696089383</v>
          </cell>
          <cell r="O1063">
            <v>3400</v>
          </cell>
          <cell r="P1063">
            <v>3968</v>
          </cell>
          <cell r="Q1063">
            <v>4.4600000000000009</v>
          </cell>
          <cell r="R1063">
            <v>0.9</v>
          </cell>
          <cell r="S1063">
            <v>7.6</v>
          </cell>
          <cell r="T1063">
            <v>122</v>
          </cell>
          <cell r="U1063">
            <v>10</v>
          </cell>
        </row>
        <row r="1064">
          <cell r="A1064" t="str">
            <v>KBMS-35H04-C (120 V)</v>
          </cell>
          <cell r="B1064">
            <v>93</v>
          </cell>
          <cell r="C1064">
            <v>68</v>
          </cell>
          <cell r="D1064">
            <v>25.3</v>
          </cell>
          <cell r="E1064">
            <v>14.7</v>
          </cell>
          <cell r="H1064">
            <v>22.977994908892388</v>
          </cell>
          <cell r="I1064">
            <v>800</v>
          </cell>
          <cell r="P1064">
            <v>1080</v>
          </cell>
          <cell r="Q1064">
            <v>4.4600000000000009</v>
          </cell>
          <cell r="R1064">
            <v>0.73</v>
          </cell>
          <cell r="S1064">
            <v>6.1</v>
          </cell>
          <cell r="T1064">
            <v>107</v>
          </cell>
          <cell r="U1064">
            <v>10</v>
          </cell>
        </row>
        <row r="1065">
          <cell r="A1065" t="str">
            <v>KBMS-35H04-C (240 V)</v>
          </cell>
          <cell r="B1065">
            <v>93</v>
          </cell>
          <cell r="C1065">
            <v>68</v>
          </cell>
          <cell r="D1065">
            <v>25.3</v>
          </cell>
          <cell r="E1065">
            <v>14.7</v>
          </cell>
          <cell r="J1065">
            <v>21.088029959676135</v>
          </cell>
          <cell r="K1065">
            <v>1800</v>
          </cell>
          <cell r="P1065">
            <v>2260</v>
          </cell>
          <cell r="Q1065">
            <v>4.4600000000000009</v>
          </cell>
          <cell r="R1065">
            <v>0.73</v>
          </cell>
          <cell r="S1065">
            <v>6.1</v>
          </cell>
          <cell r="T1065">
            <v>107</v>
          </cell>
          <cell r="U1065">
            <v>10</v>
          </cell>
        </row>
        <row r="1066">
          <cell r="A1066" t="str">
            <v>KBMS-35H04-C (400 V)</v>
          </cell>
          <cell r="B1066">
            <v>93</v>
          </cell>
          <cell r="C1066">
            <v>68</v>
          </cell>
          <cell r="D1066">
            <v>25.3</v>
          </cell>
          <cell r="E1066">
            <v>14.7</v>
          </cell>
          <cell r="L1066">
            <v>16.14699240823229</v>
          </cell>
          <cell r="M1066">
            <v>3300</v>
          </cell>
          <cell r="P1066">
            <v>3766</v>
          </cell>
          <cell r="Q1066">
            <v>4.4600000000000009</v>
          </cell>
          <cell r="R1066">
            <v>0.73</v>
          </cell>
          <cell r="S1066">
            <v>6.1</v>
          </cell>
          <cell r="T1066">
            <v>107</v>
          </cell>
          <cell r="U1066">
            <v>10</v>
          </cell>
        </row>
        <row r="1067">
          <cell r="A1067" t="str">
            <v>KBMS-35H04-C (480 V)</v>
          </cell>
          <cell r="B1067">
            <v>93</v>
          </cell>
          <cell r="C1067">
            <v>68</v>
          </cell>
          <cell r="D1067">
            <v>25.3</v>
          </cell>
          <cell r="E1067">
            <v>14.7</v>
          </cell>
          <cell r="N1067">
            <v>11.206042017217307</v>
          </cell>
          <cell r="O1067">
            <v>4150</v>
          </cell>
          <cell r="P1067">
            <v>4520</v>
          </cell>
          <cell r="Q1067">
            <v>4.4600000000000009</v>
          </cell>
          <cell r="R1067">
            <v>0.73</v>
          </cell>
          <cell r="S1067">
            <v>6.1</v>
          </cell>
          <cell r="T1067">
            <v>107</v>
          </cell>
          <cell r="U1067">
            <v>10</v>
          </cell>
        </row>
        <row r="1068">
          <cell r="A1068" t="str">
            <v>KBMS-35H04-D (120 V)</v>
          </cell>
          <cell r="B1068">
            <v>91.5</v>
          </cell>
          <cell r="C1068">
            <v>89</v>
          </cell>
          <cell r="D1068">
            <v>24.7</v>
          </cell>
          <cell r="E1068">
            <v>19.2</v>
          </cell>
          <cell r="H1068">
            <v>21.838826104261813</v>
          </cell>
          <cell r="I1068">
            <v>1150</v>
          </cell>
          <cell r="P1068">
            <v>1443</v>
          </cell>
          <cell r="Q1068">
            <v>4.4600000000000009</v>
          </cell>
          <cell r="R1068">
            <v>0.43</v>
          </cell>
          <cell r="S1068">
            <v>3.4</v>
          </cell>
          <cell r="T1068">
            <v>80</v>
          </cell>
          <cell r="U1068">
            <v>10</v>
          </cell>
        </row>
        <row r="1069">
          <cell r="A1069" t="str">
            <v>KBMS-35H04-D (240 V)</v>
          </cell>
          <cell r="B1069">
            <v>91.5</v>
          </cell>
          <cell r="C1069">
            <v>89</v>
          </cell>
          <cell r="D1069">
            <v>24.7</v>
          </cell>
          <cell r="E1069">
            <v>19.2</v>
          </cell>
          <cell r="J1069">
            <v>18.65932552809381</v>
          </cell>
          <cell r="K1069">
            <v>2500</v>
          </cell>
          <cell r="P1069">
            <v>3015</v>
          </cell>
          <cell r="Q1069">
            <v>4.4600000000000009</v>
          </cell>
          <cell r="R1069">
            <v>0.43</v>
          </cell>
          <cell r="S1069">
            <v>3.4</v>
          </cell>
          <cell r="T1069">
            <v>80</v>
          </cell>
          <cell r="U1069">
            <v>10</v>
          </cell>
        </row>
        <row r="1070">
          <cell r="A1070" t="str">
            <v>KBMS-35H04-D (400 V)</v>
          </cell>
          <cell r="B1070">
            <v>91.5</v>
          </cell>
          <cell r="C1070">
            <v>89</v>
          </cell>
          <cell r="D1070">
            <v>24.7</v>
          </cell>
          <cell r="E1070">
            <v>19.2</v>
          </cell>
          <cell r="L1070">
            <v>10.111019914073351</v>
          </cell>
          <cell r="M1070">
            <v>4250</v>
          </cell>
          <cell r="P1070">
            <v>5025</v>
          </cell>
          <cell r="Q1070">
            <v>4.4600000000000009</v>
          </cell>
          <cell r="R1070">
            <v>0.43</v>
          </cell>
          <cell r="S1070">
            <v>3.4</v>
          </cell>
          <cell r="T1070">
            <v>80</v>
          </cell>
          <cell r="U1070">
            <v>10</v>
          </cell>
        </row>
        <row r="1071">
          <cell r="A1071" t="str">
            <v>KBMS-35H04-E (120 V)</v>
          </cell>
          <cell r="B1071">
            <v>92.1</v>
          </cell>
          <cell r="C1071">
            <v>98.8</v>
          </cell>
          <cell r="D1071">
            <v>24.7</v>
          </cell>
          <cell r="E1071">
            <v>20.7</v>
          </cell>
          <cell r="H1071">
            <v>22.042959618227506</v>
          </cell>
          <cell r="I1071">
            <v>1200</v>
          </cell>
          <cell r="P1071">
            <v>1536</v>
          </cell>
          <cell r="Q1071">
            <v>4.4600000000000009</v>
          </cell>
          <cell r="R1071">
            <v>0.37</v>
          </cell>
          <cell r="S1071">
            <v>2.8</v>
          </cell>
          <cell r="T1071">
            <v>75</v>
          </cell>
          <cell r="U1071">
            <v>10</v>
          </cell>
        </row>
        <row r="1072">
          <cell r="A1072" t="str">
            <v>KBMS-35H04-E (240 V)</v>
          </cell>
          <cell r="B1072">
            <v>92.1</v>
          </cell>
          <cell r="C1072">
            <v>98.8</v>
          </cell>
          <cell r="D1072">
            <v>24.7</v>
          </cell>
          <cell r="E1072">
            <v>20.7</v>
          </cell>
          <cell r="J1072">
            <v>18.657856405542191</v>
          </cell>
          <cell r="K1072">
            <v>2600</v>
          </cell>
          <cell r="P1072">
            <v>3208</v>
          </cell>
          <cell r="Q1072">
            <v>4.4600000000000009</v>
          </cell>
          <cell r="R1072">
            <v>0.37</v>
          </cell>
          <cell r="S1072">
            <v>2.8</v>
          </cell>
          <cell r="T1072">
            <v>75</v>
          </cell>
          <cell r="U1072">
            <v>10</v>
          </cell>
        </row>
        <row r="1073">
          <cell r="A1073" t="str">
            <v>KBMS-35H04-E (400 V)</v>
          </cell>
          <cell r="B1073">
            <v>92.1</v>
          </cell>
          <cell r="C1073">
            <v>98.8</v>
          </cell>
          <cell r="D1073">
            <v>24.7</v>
          </cell>
          <cell r="E1073">
            <v>20.7</v>
          </cell>
          <cell r="L1073">
            <v>6.8402026628842849</v>
          </cell>
          <cell r="M1073">
            <v>4600</v>
          </cell>
          <cell r="P1073">
            <v>5347</v>
          </cell>
          <cell r="Q1073">
            <v>4.4600000000000009</v>
          </cell>
          <cell r="R1073">
            <v>0.37</v>
          </cell>
          <cell r="S1073">
            <v>2.8</v>
          </cell>
          <cell r="T1073">
            <v>75</v>
          </cell>
          <cell r="U1073">
            <v>10</v>
          </cell>
        </row>
        <row r="1074">
          <cell r="A1074" t="str">
            <v>KBMS-45H01-A (120 V)</v>
          </cell>
          <cell r="B1074">
            <v>118</v>
          </cell>
          <cell r="C1074">
            <v>46.5</v>
          </cell>
          <cell r="D1074">
            <v>30.7</v>
          </cell>
          <cell r="E1074">
            <v>10.24</v>
          </cell>
          <cell r="H1074">
            <v>28.329579870357374</v>
          </cell>
          <cell r="I1074">
            <v>450</v>
          </cell>
          <cell r="P1074">
            <v>617</v>
          </cell>
          <cell r="Q1074">
            <v>8.35</v>
          </cell>
          <cell r="R1074">
            <v>1.36</v>
          </cell>
          <cell r="S1074">
            <v>21</v>
          </cell>
          <cell r="T1074">
            <v>187</v>
          </cell>
          <cell r="U1074">
            <v>10</v>
          </cell>
        </row>
        <row r="1075">
          <cell r="A1075" t="str">
            <v>KBMS-45H01-A (240 V)</v>
          </cell>
          <cell r="B1075">
            <v>118</v>
          </cell>
          <cell r="C1075">
            <v>46.5</v>
          </cell>
          <cell r="D1075">
            <v>30.7</v>
          </cell>
          <cell r="E1075">
            <v>10.24</v>
          </cell>
          <cell r="J1075">
            <v>27.341143907997175</v>
          </cell>
          <cell r="K1075">
            <v>950</v>
          </cell>
          <cell r="P1075">
            <v>1293</v>
          </cell>
          <cell r="Q1075">
            <v>8.35</v>
          </cell>
          <cell r="R1075">
            <v>1.36</v>
          </cell>
          <cell r="S1075">
            <v>21</v>
          </cell>
          <cell r="T1075">
            <v>187</v>
          </cell>
          <cell r="U1075">
            <v>10</v>
          </cell>
        </row>
        <row r="1076">
          <cell r="A1076" t="str">
            <v>KBMS-45H01-A (400 V)</v>
          </cell>
          <cell r="B1076">
            <v>118</v>
          </cell>
          <cell r="C1076">
            <v>46.5</v>
          </cell>
          <cell r="D1076">
            <v>30.7</v>
          </cell>
          <cell r="E1076">
            <v>10.24</v>
          </cell>
          <cell r="L1076">
            <v>24.99187334951591</v>
          </cell>
          <cell r="M1076">
            <v>1750</v>
          </cell>
          <cell r="P1076">
            <v>2155</v>
          </cell>
          <cell r="Q1076">
            <v>8.35</v>
          </cell>
          <cell r="R1076">
            <v>1.36</v>
          </cell>
          <cell r="S1076">
            <v>21</v>
          </cell>
          <cell r="T1076">
            <v>187</v>
          </cell>
          <cell r="U1076">
            <v>10</v>
          </cell>
        </row>
        <row r="1077">
          <cell r="A1077" t="str">
            <v>KBMS-45H01-A (480 V)</v>
          </cell>
          <cell r="B1077">
            <v>118</v>
          </cell>
          <cell r="C1077">
            <v>46.5</v>
          </cell>
          <cell r="D1077">
            <v>30.7</v>
          </cell>
          <cell r="E1077">
            <v>10.24</v>
          </cell>
          <cell r="N1077">
            <v>23.64587725936731</v>
          </cell>
          <cell r="O1077">
            <v>2100</v>
          </cell>
          <cell r="P1077">
            <v>2586</v>
          </cell>
          <cell r="Q1077">
            <v>8.35</v>
          </cell>
          <cell r="R1077">
            <v>1.36</v>
          </cell>
          <cell r="S1077">
            <v>21</v>
          </cell>
          <cell r="T1077">
            <v>187</v>
          </cell>
          <cell r="U1077">
            <v>10</v>
          </cell>
        </row>
        <row r="1078">
          <cell r="A1078" t="str">
            <v>KBMS-45H01-B (120 V)</v>
          </cell>
          <cell r="B1078">
            <v>118</v>
          </cell>
          <cell r="C1078">
            <v>57.5</v>
          </cell>
          <cell r="D1078">
            <v>30.2</v>
          </cell>
          <cell r="E1078">
            <v>12.5</v>
          </cell>
          <cell r="H1078">
            <v>27.738432938873189</v>
          </cell>
          <cell r="I1078">
            <v>525</v>
          </cell>
          <cell r="P1078">
            <v>763</v>
          </cell>
          <cell r="Q1078">
            <v>8.35</v>
          </cell>
          <cell r="R1078">
            <v>0.92</v>
          </cell>
          <cell r="S1078">
            <v>14</v>
          </cell>
          <cell r="T1078">
            <v>150</v>
          </cell>
          <cell r="U1078">
            <v>10</v>
          </cell>
        </row>
        <row r="1079">
          <cell r="A1079" t="str">
            <v>KBMS-45H01-B (240 V)</v>
          </cell>
          <cell r="B1079">
            <v>118</v>
          </cell>
          <cell r="C1079">
            <v>57.5</v>
          </cell>
          <cell r="D1079">
            <v>30.2</v>
          </cell>
          <cell r="E1079">
            <v>12.5</v>
          </cell>
          <cell r="J1079">
            <v>26.101410667070837</v>
          </cell>
          <cell r="K1079">
            <v>1200</v>
          </cell>
          <cell r="P1079">
            <v>1596</v>
          </cell>
          <cell r="Q1079">
            <v>8.35</v>
          </cell>
          <cell r="R1079">
            <v>0.92</v>
          </cell>
          <cell r="S1079">
            <v>14</v>
          </cell>
          <cell r="T1079">
            <v>150</v>
          </cell>
          <cell r="U1079">
            <v>10</v>
          </cell>
        </row>
        <row r="1080">
          <cell r="A1080" t="str">
            <v>KBMS-45H01-B (400 V)</v>
          </cell>
          <cell r="B1080">
            <v>118</v>
          </cell>
          <cell r="C1080">
            <v>57.5</v>
          </cell>
          <cell r="D1080">
            <v>30.2</v>
          </cell>
          <cell r="E1080">
            <v>12.5</v>
          </cell>
          <cell r="L1080">
            <v>23.09597313705644</v>
          </cell>
          <cell r="M1080">
            <v>2150</v>
          </cell>
          <cell r="P1080">
            <v>2660</v>
          </cell>
          <cell r="Q1080">
            <v>8.35</v>
          </cell>
          <cell r="R1080">
            <v>0.92</v>
          </cell>
          <cell r="S1080">
            <v>14</v>
          </cell>
          <cell r="T1080">
            <v>150</v>
          </cell>
          <cell r="U1080">
            <v>10</v>
          </cell>
        </row>
        <row r="1081">
          <cell r="A1081" t="str">
            <v>KBMS-45H01-B (480 V)</v>
          </cell>
          <cell r="B1081">
            <v>118</v>
          </cell>
          <cell r="C1081">
            <v>57.5</v>
          </cell>
          <cell r="D1081">
            <v>30.2</v>
          </cell>
          <cell r="E1081">
            <v>12.5</v>
          </cell>
          <cell r="N1081">
            <v>20.720171836492035</v>
          </cell>
          <cell r="O1081">
            <v>2650</v>
          </cell>
          <cell r="P1081">
            <v>3192</v>
          </cell>
          <cell r="Q1081">
            <v>8.35</v>
          </cell>
          <cell r="R1081">
            <v>0.92</v>
          </cell>
          <cell r="S1081">
            <v>14</v>
          </cell>
          <cell r="T1081">
            <v>150</v>
          </cell>
          <cell r="U1081">
            <v>10</v>
          </cell>
        </row>
        <row r="1082">
          <cell r="A1082" t="str">
            <v>KBMS-45H01-C (120 V)</v>
          </cell>
          <cell r="B1082">
            <v>119</v>
          </cell>
          <cell r="C1082">
            <v>65</v>
          </cell>
          <cell r="D1082">
            <v>31.3</v>
          </cell>
          <cell r="E1082">
            <v>14.3</v>
          </cell>
          <cell r="H1082">
            <v>28.427521373798537</v>
          </cell>
          <cell r="I1082">
            <v>650</v>
          </cell>
          <cell r="P1082">
            <v>854</v>
          </cell>
          <cell r="Q1082">
            <v>8.35</v>
          </cell>
          <cell r="R1082">
            <v>0.69</v>
          </cell>
          <cell r="S1082">
            <v>11</v>
          </cell>
          <cell r="T1082">
            <v>135</v>
          </cell>
          <cell r="U1082">
            <v>10</v>
          </cell>
        </row>
        <row r="1083">
          <cell r="A1083" t="str">
            <v>KBMS-45H01-C (240 V)</v>
          </cell>
          <cell r="B1083">
            <v>119</v>
          </cell>
          <cell r="C1083">
            <v>65</v>
          </cell>
          <cell r="D1083">
            <v>31.3</v>
          </cell>
          <cell r="E1083">
            <v>14.3</v>
          </cell>
          <cell r="J1083">
            <v>26.601611916788226</v>
          </cell>
          <cell r="K1083">
            <v>1400</v>
          </cell>
          <cell r="P1083">
            <v>1783</v>
          </cell>
          <cell r="Q1083">
            <v>8.35</v>
          </cell>
          <cell r="R1083">
            <v>0.69</v>
          </cell>
          <cell r="S1083">
            <v>11</v>
          </cell>
          <cell r="T1083">
            <v>135</v>
          </cell>
          <cell r="U1083">
            <v>10</v>
          </cell>
        </row>
        <row r="1084">
          <cell r="A1084" t="str">
            <v>KBMS-45H01-C (400 V)</v>
          </cell>
          <cell r="B1084">
            <v>119</v>
          </cell>
          <cell r="C1084">
            <v>65</v>
          </cell>
          <cell r="D1084">
            <v>31.3</v>
          </cell>
          <cell r="E1084">
            <v>14.3</v>
          </cell>
          <cell r="L1084">
            <v>22.23076245107594</v>
          </cell>
          <cell r="M1084">
            <v>2500</v>
          </cell>
          <cell r="P1084">
            <v>2972</v>
          </cell>
          <cell r="Q1084">
            <v>8.35</v>
          </cell>
          <cell r="R1084">
            <v>0.69</v>
          </cell>
          <cell r="S1084">
            <v>11</v>
          </cell>
          <cell r="T1084">
            <v>135</v>
          </cell>
          <cell r="U1084">
            <v>10</v>
          </cell>
        </row>
        <row r="1085">
          <cell r="A1085" t="str">
            <v>KBMS-45H01-C (480 V)</v>
          </cell>
          <cell r="B1085">
            <v>119</v>
          </cell>
          <cell r="C1085">
            <v>65</v>
          </cell>
          <cell r="D1085">
            <v>31.3</v>
          </cell>
          <cell r="E1085">
            <v>14.3</v>
          </cell>
          <cell r="N1085">
            <v>18.621128341751753</v>
          </cell>
          <cell r="O1085">
            <v>3100</v>
          </cell>
          <cell r="P1085">
            <v>3567</v>
          </cell>
          <cell r="Q1085">
            <v>8.35</v>
          </cell>
          <cell r="R1085">
            <v>0.69</v>
          </cell>
          <cell r="S1085">
            <v>11</v>
          </cell>
          <cell r="T1085">
            <v>135</v>
          </cell>
          <cell r="U1085">
            <v>10</v>
          </cell>
        </row>
        <row r="1086">
          <cell r="A1086" t="str">
            <v>KBMS-45H01-D (120 V)</v>
          </cell>
          <cell r="B1086">
            <v>118</v>
          </cell>
          <cell r="C1086">
            <v>93.5</v>
          </cell>
          <cell r="D1086">
            <v>29.7</v>
          </cell>
          <cell r="E1086">
            <v>20.2</v>
          </cell>
          <cell r="H1086">
            <v>26.335954793732576</v>
          </cell>
          <cell r="I1086">
            <v>950</v>
          </cell>
          <cell r="P1086">
            <v>1263</v>
          </cell>
          <cell r="Q1086">
            <v>8.35</v>
          </cell>
          <cell r="R1086">
            <v>0.35</v>
          </cell>
          <cell r="S1086">
            <v>5</v>
          </cell>
          <cell r="T1086">
            <v>91.2</v>
          </cell>
          <cell r="U1086">
            <v>10</v>
          </cell>
        </row>
        <row r="1087">
          <cell r="A1087" t="str">
            <v>KBMS-45H01-D (240 V)</v>
          </cell>
          <cell r="B1087">
            <v>118</v>
          </cell>
          <cell r="C1087">
            <v>93.5</v>
          </cell>
          <cell r="D1087">
            <v>29.7</v>
          </cell>
          <cell r="E1087">
            <v>20.2</v>
          </cell>
          <cell r="J1087">
            <v>22.804629703024432</v>
          </cell>
          <cell r="K1087">
            <v>2100</v>
          </cell>
          <cell r="P1087">
            <v>2635</v>
          </cell>
          <cell r="Q1087">
            <v>8.35</v>
          </cell>
          <cell r="R1087">
            <v>0.35</v>
          </cell>
          <cell r="S1087">
            <v>5</v>
          </cell>
          <cell r="T1087">
            <v>91.2</v>
          </cell>
          <cell r="U1087">
            <v>10</v>
          </cell>
        </row>
        <row r="1088">
          <cell r="A1088" t="str">
            <v>KBMS-45H01-D (400 V)</v>
          </cell>
          <cell r="B1088">
            <v>118</v>
          </cell>
          <cell r="C1088">
            <v>93.5</v>
          </cell>
          <cell r="D1088">
            <v>29.7</v>
          </cell>
          <cell r="E1088">
            <v>20.2</v>
          </cell>
          <cell r="L1088">
            <v>12.723792477454767</v>
          </cell>
          <cell r="M1088">
            <v>3700</v>
          </cell>
          <cell r="P1088">
            <v>4392</v>
          </cell>
          <cell r="Q1088">
            <v>8.35</v>
          </cell>
          <cell r="R1088">
            <v>0.35</v>
          </cell>
          <cell r="S1088">
            <v>5</v>
          </cell>
          <cell r="T1088">
            <v>91.2</v>
          </cell>
          <cell r="U1088">
            <v>10</v>
          </cell>
        </row>
        <row r="1089">
          <cell r="A1089" t="str">
            <v>KBMS-45H01-E (120 V)</v>
          </cell>
          <cell r="B1089">
            <v>118</v>
          </cell>
          <cell r="C1089">
            <v>105</v>
          </cell>
          <cell r="D1089">
            <v>31.2</v>
          </cell>
          <cell r="E1089">
            <v>23.4</v>
          </cell>
          <cell r="H1089">
            <v>27.345712949425653</v>
          </cell>
          <cell r="I1089">
            <v>1100</v>
          </cell>
          <cell r="P1089">
            <v>1394</v>
          </cell>
          <cell r="Q1089">
            <v>8.35</v>
          </cell>
          <cell r="R1089">
            <v>0.26</v>
          </cell>
          <cell r="S1089">
            <v>3.2</v>
          </cell>
          <cell r="T1089">
            <v>82.7</v>
          </cell>
          <cell r="U1089">
            <v>10</v>
          </cell>
        </row>
        <row r="1090">
          <cell r="A1090" t="str">
            <v>KBMS-45H01-E (240 V)</v>
          </cell>
          <cell r="B1090">
            <v>118</v>
          </cell>
          <cell r="C1090">
            <v>105</v>
          </cell>
          <cell r="D1090">
            <v>31.2</v>
          </cell>
          <cell r="E1090">
            <v>23.4</v>
          </cell>
          <cell r="J1090">
            <v>23.167423890072417</v>
          </cell>
          <cell r="K1090">
            <v>2300</v>
          </cell>
          <cell r="P1090">
            <v>2909</v>
          </cell>
          <cell r="Q1090">
            <v>8.35</v>
          </cell>
          <cell r="R1090">
            <v>0.26</v>
          </cell>
          <cell r="S1090">
            <v>3.2</v>
          </cell>
          <cell r="T1090">
            <v>82.7</v>
          </cell>
          <cell r="U1090">
            <v>10</v>
          </cell>
        </row>
        <row r="1091">
          <cell r="A1091" t="str">
            <v>KBMS-45H02-A (120 V)</v>
          </cell>
          <cell r="B1091">
            <v>171</v>
          </cell>
          <cell r="C1091">
            <v>60.5</v>
          </cell>
          <cell r="D1091">
            <v>43.7</v>
          </cell>
          <cell r="E1091">
            <v>13.3</v>
          </cell>
          <cell r="H1091">
            <v>40.226411866476546</v>
          </cell>
          <cell r="I1091">
            <v>400</v>
          </cell>
          <cell r="P1091">
            <v>568</v>
          </cell>
          <cell r="Q1091">
            <v>11.5</v>
          </cell>
          <cell r="R1091">
            <v>0.95</v>
          </cell>
          <cell r="S1091">
            <v>16</v>
          </cell>
          <cell r="T1091">
            <v>202</v>
          </cell>
          <cell r="U1091">
            <v>10</v>
          </cell>
        </row>
        <row r="1092">
          <cell r="A1092" t="str">
            <v>KBMS-45H02-A (240 V)</v>
          </cell>
          <cell r="B1092">
            <v>171</v>
          </cell>
          <cell r="C1092">
            <v>60.5</v>
          </cell>
          <cell r="D1092">
            <v>43.7</v>
          </cell>
          <cell r="E1092">
            <v>13.3</v>
          </cell>
          <cell r="J1092">
            <v>38.46847317687061</v>
          </cell>
          <cell r="K1092">
            <v>880</v>
          </cell>
          <cell r="P1092">
            <v>1188</v>
          </cell>
          <cell r="Q1092">
            <v>11.5</v>
          </cell>
          <cell r="R1092">
            <v>0.95</v>
          </cell>
          <cell r="S1092">
            <v>16</v>
          </cell>
          <cell r="T1092">
            <v>202</v>
          </cell>
          <cell r="U1092">
            <v>10</v>
          </cell>
        </row>
        <row r="1093">
          <cell r="A1093" t="str">
            <v>KBMS-45H02-A (400 V)</v>
          </cell>
          <cell r="B1093">
            <v>171</v>
          </cell>
          <cell r="C1093">
            <v>60.5</v>
          </cell>
          <cell r="D1093">
            <v>43.7</v>
          </cell>
          <cell r="E1093">
            <v>13.3</v>
          </cell>
          <cell r="L1093">
            <v>34.85493253712508</v>
          </cell>
          <cell r="M1093">
            <v>1600</v>
          </cell>
          <cell r="P1093">
            <v>1980</v>
          </cell>
          <cell r="Q1093">
            <v>11.5</v>
          </cell>
          <cell r="R1093">
            <v>0.95</v>
          </cell>
          <cell r="S1093">
            <v>16</v>
          </cell>
          <cell r="T1093">
            <v>202</v>
          </cell>
          <cell r="U1093">
            <v>10</v>
          </cell>
        </row>
        <row r="1094">
          <cell r="A1094" t="str">
            <v>KBMS-45H02-A (480 V)</v>
          </cell>
          <cell r="B1094">
            <v>171</v>
          </cell>
          <cell r="C1094">
            <v>60.5</v>
          </cell>
          <cell r="D1094">
            <v>43.7</v>
          </cell>
          <cell r="E1094">
            <v>13.3</v>
          </cell>
          <cell r="N1094">
            <v>32.565549894187811</v>
          </cell>
          <cell r="O1094">
            <v>1950</v>
          </cell>
          <cell r="P1094">
            <v>2376</v>
          </cell>
          <cell r="Q1094">
            <v>11.5</v>
          </cell>
          <cell r="R1094">
            <v>0.95</v>
          </cell>
          <cell r="S1094">
            <v>16</v>
          </cell>
          <cell r="T1094">
            <v>202</v>
          </cell>
          <cell r="U1094">
            <v>10</v>
          </cell>
        </row>
        <row r="1095">
          <cell r="A1095" t="str">
            <v>KBMS-45H02-B (120 V)</v>
          </cell>
          <cell r="B1095">
            <v>171</v>
          </cell>
          <cell r="C1095">
            <v>68</v>
          </cell>
          <cell r="D1095">
            <v>43.5</v>
          </cell>
          <cell r="E1095">
            <v>14.9</v>
          </cell>
          <cell r="H1095">
            <v>39.894839068368434</v>
          </cell>
          <cell r="I1095">
            <v>450</v>
          </cell>
          <cell r="P1095">
            <v>638</v>
          </cell>
          <cell r="Q1095">
            <v>11.5</v>
          </cell>
          <cell r="R1095">
            <v>0.76</v>
          </cell>
          <cell r="S1095">
            <v>12</v>
          </cell>
          <cell r="T1095">
            <v>180</v>
          </cell>
          <cell r="U1095">
            <v>10</v>
          </cell>
        </row>
        <row r="1096">
          <cell r="A1096" t="str">
            <v>KBMS-45H02-B (240 V)</v>
          </cell>
          <cell r="B1096">
            <v>171</v>
          </cell>
          <cell r="C1096">
            <v>68</v>
          </cell>
          <cell r="D1096">
            <v>43.5</v>
          </cell>
          <cell r="E1096">
            <v>14.9</v>
          </cell>
          <cell r="J1096">
            <v>37.515093728803905</v>
          </cell>
          <cell r="K1096">
            <v>1050</v>
          </cell>
          <cell r="P1096">
            <v>1334</v>
          </cell>
          <cell r="Q1096">
            <v>11.5</v>
          </cell>
          <cell r="R1096">
            <v>0.76</v>
          </cell>
          <cell r="S1096">
            <v>12</v>
          </cell>
          <cell r="T1096">
            <v>180</v>
          </cell>
          <cell r="U1096">
            <v>10</v>
          </cell>
        </row>
        <row r="1097">
          <cell r="A1097" t="str">
            <v>KBMS-45H02-B (400 V)</v>
          </cell>
          <cell r="B1097">
            <v>171</v>
          </cell>
          <cell r="C1097">
            <v>68</v>
          </cell>
          <cell r="D1097">
            <v>43.5</v>
          </cell>
          <cell r="E1097">
            <v>14.9</v>
          </cell>
          <cell r="L1097">
            <v>32.769165125026028</v>
          </cell>
          <cell r="M1097">
            <v>1900</v>
          </cell>
          <cell r="P1097">
            <v>2223</v>
          </cell>
          <cell r="Q1097">
            <v>11.5</v>
          </cell>
          <cell r="R1097">
            <v>0.76</v>
          </cell>
          <cell r="S1097">
            <v>12</v>
          </cell>
          <cell r="T1097">
            <v>180</v>
          </cell>
          <cell r="U1097">
            <v>10</v>
          </cell>
        </row>
        <row r="1098">
          <cell r="A1098" t="str">
            <v>KBMS-45H02-B (480 V)</v>
          </cell>
          <cell r="B1098">
            <v>171</v>
          </cell>
          <cell r="C1098">
            <v>68</v>
          </cell>
          <cell r="D1098">
            <v>43.5</v>
          </cell>
          <cell r="E1098">
            <v>14.9</v>
          </cell>
          <cell r="N1098">
            <v>29.257419325829272</v>
          </cell>
          <cell r="O1098">
            <v>2350</v>
          </cell>
          <cell r="P1098">
            <v>2667</v>
          </cell>
          <cell r="Q1098">
            <v>11.5</v>
          </cell>
          <cell r="R1098">
            <v>0.76</v>
          </cell>
          <cell r="S1098">
            <v>12</v>
          </cell>
          <cell r="T1098">
            <v>180</v>
          </cell>
          <cell r="U1098">
            <v>10</v>
          </cell>
        </row>
        <row r="1099">
          <cell r="A1099" t="str">
            <v>KBMS-45H02-C (120 V)</v>
          </cell>
          <cell r="B1099">
            <v>168</v>
          </cell>
          <cell r="C1099">
            <v>97.2</v>
          </cell>
          <cell r="D1099">
            <v>41.8</v>
          </cell>
          <cell r="E1099">
            <v>21.1</v>
          </cell>
          <cell r="H1099">
            <v>37.242256683503506</v>
          </cell>
          <cell r="I1099">
            <v>750</v>
          </cell>
          <cell r="P1099">
            <v>941</v>
          </cell>
          <cell r="Q1099">
            <v>11.5</v>
          </cell>
          <cell r="R1099">
            <v>0.38</v>
          </cell>
          <cell r="S1099">
            <v>5.9</v>
          </cell>
          <cell r="T1099">
            <v>123</v>
          </cell>
          <cell r="U1099">
            <v>10</v>
          </cell>
        </row>
        <row r="1100">
          <cell r="A1100" t="str">
            <v>KBMS-45H02-C (240 V)</v>
          </cell>
          <cell r="B1100">
            <v>168</v>
          </cell>
          <cell r="C1100">
            <v>97.2</v>
          </cell>
          <cell r="D1100">
            <v>41.8</v>
          </cell>
          <cell r="E1100">
            <v>21.1</v>
          </cell>
          <cell r="J1100">
            <v>33.243488738319641</v>
          </cell>
          <cell r="K1100">
            <v>1600</v>
          </cell>
          <cell r="P1100">
            <v>1964</v>
          </cell>
          <cell r="Q1100">
            <v>11.5</v>
          </cell>
          <cell r="R1100">
            <v>0.38</v>
          </cell>
          <cell r="S1100">
            <v>5.9</v>
          </cell>
          <cell r="T1100">
            <v>123</v>
          </cell>
          <cell r="U1100">
            <v>10</v>
          </cell>
        </row>
        <row r="1101">
          <cell r="A1101" t="str">
            <v>KBMS-45H02-C (400 V)</v>
          </cell>
          <cell r="B1101">
            <v>168</v>
          </cell>
          <cell r="C1101">
            <v>97.2</v>
          </cell>
          <cell r="D1101">
            <v>41.8</v>
          </cell>
          <cell r="E1101">
            <v>21.1</v>
          </cell>
          <cell r="L1101">
            <v>22.654882933908411</v>
          </cell>
          <cell r="M1101">
            <v>2900</v>
          </cell>
          <cell r="P1101">
            <v>3274</v>
          </cell>
          <cell r="Q1101">
            <v>11.5</v>
          </cell>
          <cell r="R1101">
            <v>0.38</v>
          </cell>
          <cell r="S1101">
            <v>5.9</v>
          </cell>
          <cell r="T1101">
            <v>123</v>
          </cell>
          <cell r="U1101">
            <v>10</v>
          </cell>
        </row>
        <row r="1102">
          <cell r="A1102" t="str">
            <v>KBMS-45H02-C (480 V)</v>
          </cell>
          <cell r="B1102">
            <v>168</v>
          </cell>
          <cell r="C1102">
            <v>97.2</v>
          </cell>
          <cell r="D1102">
            <v>41.8</v>
          </cell>
          <cell r="E1102">
            <v>21.1</v>
          </cell>
          <cell r="N1102">
            <v>12.34587629984274</v>
          </cell>
          <cell r="O1102">
            <v>3500</v>
          </cell>
          <cell r="P1102">
            <v>3929</v>
          </cell>
          <cell r="Q1102">
            <v>11.5</v>
          </cell>
          <cell r="R1102">
            <v>0.38</v>
          </cell>
          <cell r="S1102">
            <v>5.9</v>
          </cell>
          <cell r="T1102">
            <v>123</v>
          </cell>
          <cell r="U1102">
            <v>10</v>
          </cell>
        </row>
        <row r="1103">
          <cell r="A1103" t="str">
            <v>KBMS-45H03-A (120 V)</v>
          </cell>
          <cell r="B1103">
            <v>218</v>
          </cell>
          <cell r="C1103">
            <v>64.5</v>
          </cell>
          <cell r="D1103">
            <v>54.6</v>
          </cell>
          <cell r="E1103">
            <v>14.1</v>
          </cell>
          <cell r="H1103">
            <v>50.202016335272141</v>
          </cell>
          <cell r="I1103">
            <v>350</v>
          </cell>
          <cell r="P1103">
            <v>480</v>
          </cell>
          <cell r="Q1103">
            <v>14.5</v>
          </cell>
          <cell r="R1103">
            <v>0.93</v>
          </cell>
          <cell r="S1103">
            <v>16</v>
          </cell>
          <cell r="T1103">
            <v>240</v>
          </cell>
          <cell r="U1103">
            <v>10</v>
          </cell>
        </row>
        <row r="1104">
          <cell r="A1104" t="str">
            <v>KBMS-45H03-A (240 V)</v>
          </cell>
          <cell r="B1104">
            <v>218</v>
          </cell>
          <cell r="C1104">
            <v>64.5</v>
          </cell>
          <cell r="D1104">
            <v>54.6</v>
          </cell>
          <cell r="E1104">
            <v>14.1</v>
          </cell>
          <cell r="J1104">
            <v>47.7464829275686</v>
          </cell>
          <cell r="K1104">
            <v>800</v>
          </cell>
          <cell r="P1104">
            <v>1005</v>
          </cell>
          <cell r="Q1104">
            <v>14.5</v>
          </cell>
          <cell r="R1104">
            <v>0.93</v>
          </cell>
          <cell r="S1104">
            <v>16</v>
          </cell>
          <cell r="T1104">
            <v>240</v>
          </cell>
          <cell r="U1104">
            <v>10</v>
          </cell>
        </row>
        <row r="1105">
          <cell r="A1105" t="str">
            <v>KBMS-45H03-A (400 V)</v>
          </cell>
          <cell r="B1105">
            <v>218</v>
          </cell>
          <cell r="C1105">
            <v>64.5</v>
          </cell>
          <cell r="D1105">
            <v>54.6</v>
          </cell>
          <cell r="E1105">
            <v>14.1</v>
          </cell>
          <cell r="L1105">
            <v>43.688031878725276</v>
          </cell>
          <cell r="M1105">
            <v>1400</v>
          </cell>
          <cell r="P1105">
            <v>1676</v>
          </cell>
          <cell r="Q1105">
            <v>14.5</v>
          </cell>
          <cell r="R1105">
            <v>0.93</v>
          </cell>
          <cell r="S1105">
            <v>16</v>
          </cell>
          <cell r="T1105">
            <v>240</v>
          </cell>
          <cell r="U1105">
            <v>10</v>
          </cell>
        </row>
        <row r="1106">
          <cell r="A1106" t="str">
            <v>KBMS-45H03-A (480 V)</v>
          </cell>
          <cell r="B1106">
            <v>218</v>
          </cell>
          <cell r="C1106">
            <v>64.5</v>
          </cell>
          <cell r="D1106">
            <v>54.6</v>
          </cell>
          <cell r="E1106">
            <v>14.1</v>
          </cell>
          <cell r="N1106">
            <v>40.837285986285153</v>
          </cell>
          <cell r="O1106">
            <v>1700</v>
          </cell>
          <cell r="P1106">
            <v>2011</v>
          </cell>
          <cell r="Q1106">
            <v>14.5</v>
          </cell>
          <cell r="R1106">
            <v>0.93</v>
          </cell>
          <cell r="S1106">
            <v>16</v>
          </cell>
          <cell r="T1106">
            <v>240</v>
          </cell>
          <cell r="U1106">
            <v>10</v>
          </cell>
        </row>
        <row r="1107">
          <cell r="A1107" t="str">
            <v>KBMS-45H03-B (120 V)</v>
          </cell>
          <cell r="B1107">
            <v>216</v>
          </cell>
          <cell r="C1107">
            <v>92.5</v>
          </cell>
          <cell r="D1107">
            <v>53</v>
          </cell>
          <cell r="E1107">
            <v>19.899999999999999</v>
          </cell>
          <cell r="H1107">
            <v>49.482718670389282</v>
          </cell>
          <cell r="I1107">
            <v>550</v>
          </cell>
          <cell r="P1107">
            <v>699</v>
          </cell>
          <cell r="Q1107">
            <v>14.5</v>
          </cell>
          <cell r="R1107">
            <v>0.47</v>
          </cell>
          <cell r="S1107">
            <v>7.7</v>
          </cell>
          <cell r="T1107">
            <v>165</v>
          </cell>
          <cell r="U1107">
            <v>10</v>
          </cell>
        </row>
        <row r="1108">
          <cell r="A1108" t="str">
            <v>KBMS-45H03-B (240 V)</v>
          </cell>
          <cell r="B1108">
            <v>216</v>
          </cell>
          <cell r="C1108">
            <v>92.5</v>
          </cell>
          <cell r="D1108">
            <v>53</v>
          </cell>
          <cell r="E1108">
            <v>19.899999999999999</v>
          </cell>
          <cell r="J1108">
            <v>45.50447416401321</v>
          </cell>
          <cell r="K1108">
            <v>1150</v>
          </cell>
          <cell r="P1108">
            <v>1459</v>
          </cell>
          <cell r="Q1108">
            <v>14.5</v>
          </cell>
          <cell r="R1108">
            <v>0.47</v>
          </cell>
          <cell r="S1108">
            <v>7.7</v>
          </cell>
          <cell r="T1108">
            <v>165</v>
          </cell>
          <cell r="U1108">
            <v>10</v>
          </cell>
        </row>
        <row r="1109">
          <cell r="A1109" t="str">
            <v>KBMS-45H03-B (400 V)</v>
          </cell>
          <cell r="B1109">
            <v>216</v>
          </cell>
          <cell r="C1109">
            <v>92.5</v>
          </cell>
          <cell r="D1109">
            <v>53</v>
          </cell>
          <cell r="E1109">
            <v>19.899999999999999</v>
          </cell>
          <cell r="L1109">
            <v>33.533576381687716</v>
          </cell>
          <cell r="M1109">
            <v>2150</v>
          </cell>
          <cell r="P1109">
            <v>2432</v>
          </cell>
          <cell r="Q1109">
            <v>14.5</v>
          </cell>
          <cell r="R1109">
            <v>0.47</v>
          </cell>
          <cell r="S1109">
            <v>7.7</v>
          </cell>
          <cell r="T1109">
            <v>165</v>
          </cell>
          <cell r="U1109">
            <v>10</v>
          </cell>
        </row>
        <row r="1110">
          <cell r="A1110" t="str">
            <v>KBMS-45H03-B (480 V)</v>
          </cell>
          <cell r="B1110">
            <v>216</v>
          </cell>
          <cell r="C1110">
            <v>92.5</v>
          </cell>
          <cell r="D1110">
            <v>53</v>
          </cell>
          <cell r="E1110">
            <v>19.899999999999999</v>
          </cell>
          <cell r="N1110">
            <v>24.699622899069141</v>
          </cell>
          <cell r="O1110">
            <v>2600</v>
          </cell>
          <cell r="P1110">
            <v>2918</v>
          </cell>
          <cell r="Q1110">
            <v>14.5</v>
          </cell>
          <cell r="R1110">
            <v>0.47</v>
          </cell>
          <cell r="S1110">
            <v>7.7</v>
          </cell>
          <cell r="T1110">
            <v>165</v>
          </cell>
          <cell r="U1110">
            <v>10</v>
          </cell>
        </row>
        <row r="1111">
          <cell r="A1111" t="str">
            <v>KBMS-43H01-A (400 V)</v>
          </cell>
          <cell r="B1111">
            <v>18</v>
          </cell>
          <cell r="C1111">
            <v>18</v>
          </cell>
          <cell r="D1111">
            <v>6.12</v>
          </cell>
          <cell r="E1111">
            <v>5.12</v>
          </cell>
          <cell r="L1111">
            <v>4.82490774847009</v>
          </cell>
          <cell r="M1111">
            <v>4750</v>
          </cell>
          <cell r="P1111">
            <v>5478</v>
          </cell>
          <cell r="Q1111">
            <v>2.85</v>
          </cell>
          <cell r="R1111">
            <v>2.9</v>
          </cell>
          <cell r="S1111">
            <v>6.8</v>
          </cell>
          <cell r="T1111">
            <v>72.8</v>
          </cell>
          <cell r="U1111">
            <v>16</v>
          </cell>
        </row>
        <row r="1112">
          <cell r="A1112" t="str">
            <v>KBMS-43H02-A (400 V)</v>
          </cell>
          <cell r="B1112">
            <v>34.5</v>
          </cell>
          <cell r="C1112">
            <v>18</v>
          </cell>
          <cell r="D1112">
            <v>11.6</v>
          </cell>
          <cell r="E1112">
            <v>5.12</v>
          </cell>
          <cell r="L1112">
            <v>9.9780405138429078</v>
          </cell>
          <cell r="M1112">
            <v>2450</v>
          </cell>
          <cell r="P1112">
            <v>2866</v>
          </cell>
          <cell r="Q1112">
            <v>3.73</v>
          </cell>
          <cell r="R1112">
            <v>3.55</v>
          </cell>
          <cell r="S1112">
            <v>12</v>
          </cell>
          <cell r="T1112">
            <v>139</v>
          </cell>
          <cell r="U1112">
            <v>16</v>
          </cell>
        </row>
        <row r="1113">
          <cell r="A1113" t="str">
            <v>KBMS-43H02-A (480 V)</v>
          </cell>
          <cell r="B1113">
            <v>34.5</v>
          </cell>
          <cell r="C1113">
            <v>18</v>
          </cell>
          <cell r="D1113">
            <v>11.6</v>
          </cell>
          <cell r="E1113">
            <v>5.12</v>
          </cell>
          <cell r="N1113">
            <v>6.8754935415698784</v>
          </cell>
          <cell r="O1113">
            <v>3000</v>
          </cell>
          <cell r="P1113">
            <v>3439</v>
          </cell>
          <cell r="Q1113">
            <v>3.73</v>
          </cell>
          <cell r="R1113">
            <v>3.55</v>
          </cell>
          <cell r="S1113">
            <v>12</v>
          </cell>
          <cell r="T1113">
            <v>139</v>
          </cell>
          <cell r="U1113">
            <v>16</v>
          </cell>
        </row>
        <row r="1114">
          <cell r="A1114" t="str">
            <v>KBMS-43H03-A (400 V)</v>
          </cell>
          <cell r="B1114">
            <v>64.5</v>
          </cell>
          <cell r="C1114">
            <v>18</v>
          </cell>
          <cell r="D1114">
            <v>21</v>
          </cell>
          <cell r="E1114">
            <v>4.78</v>
          </cell>
          <cell r="L1114">
            <v>18.636530433018713</v>
          </cell>
          <cell r="M1114">
            <v>1240</v>
          </cell>
          <cell r="P1114">
            <v>1491</v>
          </cell>
          <cell r="Q1114">
            <v>5.6899999999999995</v>
          </cell>
          <cell r="R1114">
            <v>4.83</v>
          </cell>
          <cell r="S1114">
            <v>19</v>
          </cell>
          <cell r="T1114">
            <v>268</v>
          </cell>
          <cell r="U1114">
            <v>16</v>
          </cell>
        </row>
        <row r="1115">
          <cell r="A1115" t="str">
            <v>KBMS-43H03-A (480 V)</v>
          </cell>
          <cell r="B1115">
            <v>64.5</v>
          </cell>
          <cell r="C1115">
            <v>18</v>
          </cell>
          <cell r="D1115">
            <v>21</v>
          </cell>
          <cell r="E1115">
            <v>4.78</v>
          </cell>
          <cell r="N1115">
            <v>16.182532804310163</v>
          </cell>
          <cell r="O1115">
            <v>1490</v>
          </cell>
          <cell r="P1115">
            <v>1790</v>
          </cell>
          <cell r="Q1115">
            <v>5.6899999999999995</v>
          </cell>
          <cell r="R1115">
            <v>4.83</v>
          </cell>
          <cell r="S1115">
            <v>19</v>
          </cell>
          <cell r="T1115">
            <v>268</v>
          </cell>
          <cell r="U1115">
            <v>16</v>
          </cell>
        </row>
        <row r="1116">
          <cell r="A1116" t="str">
            <v>KBMS-43S01-A (240 V)</v>
          </cell>
          <cell r="B1116">
            <v>18</v>
          </cell>
          <cell r="C1116">
            <v>18</v>
          </cell>
          <cell r="D1116">
            <v>6.12</v>
          </cell>
          <cell r="E1116">
            <v>5.12</v>
          </cell>
          <cell r="J1116">
            <v>4.9618894022767375</v>
          </cell>
          <cell r="K1116">
            <v>2550</v>
          </cell>
          <cell r="P1116">
            <v>3284</v>
          </cell>
          <cell r="Q1116">
            <v>2.85</v>
          </cell>
          <cell r="R1116">
            <v>2.9</v>
          </cell>
          <cell r="S1116">
            <v>6.8</v>
          </cell>
          <cell r="T1116">
            <v>72.8</v>
          </cell>
          <cell r="U1116">
            <v>16</v>
          </cell>
        </row>
        <row r="1117">
          <cell r="A1117" t="str">
            <v>KBMS-43S02-A (240 V)</v>
          </cell>
          <cell r="B1117">
            <v>34.5</v>
          </cell>
          <cell r="C1117">
            <v>18</v>
          </cell>
          <cell r="D1117">
            <v>11.6</v>
          </cell>
          <cell r="E1117">
            <v>5.12</v>
          </cell>
          <cell r="J1117">
            <v>10.136945606160719</v>
          </cell>
          <cell r="K1117">
            <v>1300</v>
          </cell>
          <cell r="P1117">
            <v>1717</v>
          </cell>
          <cell r="Q1117">
            <v>3.73</v>
          </cell>
          <cell r="R1117">
            <v>3.55</v>
          </cell>
          <cell r="S1117">
            <v>12</v>
          </cell>
          <cell r="T1117">
            <v>139</v>
          </cell>
          <cell r="U1117">
            <v>16</v>
          </cell>
        </row>
        <row r="1118">
          <cell r="A1118" t="str">
            <v>KBMS-43S03-A (240 V)</v>
          </cell>
          <cell r="B1118">
            <v>64.5</v>
          </cell>
          <cell r="C1118">
            <v>18</v>
          </cell>
          <cell r="D1118">
            <v>21</v>
          </cell>
          <cell r="E1118">
            <v>4.78</v>
          </cell>
          <cell r="J1118">
            <v>18.813539541609121</v>
          </cell>
          <cell r="K1118">
            <v>670</v>
          </cell>
          <cell r="P1118">
            <v>893</v>
          </cell>
          <cell r="Q1118">
            <v>5.6899999999999995</v>
          </cell>
          <cell r="R1118">
            <v>4.83</v>
          </cell>
          <cell r="S1118">
            <v>19</v>
          </cell>
          <cell r="T1118">
            <v>268</v>
          </cell>
          <cell r="U1118">
            <v>16</v>
          </cell>
        </row>
        <row r="1119">
          <cell r="A1119" t="str">
            <v>KBMS-57H01-A (400 V)</v>
          </cell>
          <cell r="B1119">
            <v>46.1</v>
          </cell>
          <cell r="C1119">
            <v>18</v>
          </cell>
          <cell r="D1119">
            <v>18.8</v>
          </cell>
          <cell r="E1119">
            <v>5.67</v>
          </cell>
          <cell r="L1119">
            <v>13.222102964557459</v>
          </cell>
          <cell r="M1119">
            <v>1625</v>
          </cell>
          <cell r="P1119">
            <v>1975</v>
          </cell>
          <cell r="Q1119">
            <v>9.49</v>
          </cell>
          <cell r="R1119">
            <v>3.39</v>
          </cell>
          <cell r="S1119">
            <v>13</v>
          </cell>
          <cell r="T1119">
            <v>203</v>
          </cell>
          <cell r="U1119">
            <v>24</v>
          </cell>
        </row>
        <row r="1120">
          <cell r="A1120" t="str">
            <v>KBMS-57H01-A (480 V)</v>
          </cell>
          <cell r="B1120">
            <v>46.1</v>
          </cell>
          <cell r="C1120">
            <v>18</v>
          </cell>
          <cell r="D1120">
            <v>18.8</v>
          </cell>
          <cell r="E1120">
            <v>5.67</v>
          </cell>
          <cell r="N1120">
            <v>10.713844949600761</v>
          </cell>
          <cell r="O1120">
            <v>2050</v>
          </cell>
          <cell r="P1120">
            <v>2370</v>
          </cell>
          <cell r="Q1120">
            <v>9.49</v>
          </cell>
          <cell r="R1120">
            <v>3.39</v>
          </cell>
          <cell r="S1120">
            <v>13</v>
          </cell>
          <cell r="T1120">
            <v>203</v>
          </cell>
          <cell r="U1120">
            <v>24</v>
          </cell>
        </row>
        <row r="1121">
          <cell r="A1121" t="str">
            <v>KBMS-57H02-A (400 V)</v>
          </cell>
          <cell r="B1121">
            <v>115</v>
          </cell>
          <cell r="C1121">
            <v>23.4</v>
          </cell>
          <cell r="D1121">
            <v>33.5</v>
          </cell>
          <cell r="E1121">
            <v>5.22</v>
          </cell>
          <cell r="L1121">
            <v>26.795904964199107</v>
          </cell>
          <cell r="M1121">
            <v>825</v>
          </cell>
          <cell r="P1121">
            <v>1023</v>
          </cell>
          <cell r="Q1121">
            <v>14.9</v>
          </cell>
          <cell r="R1121">
            <v>4.4000000000000004</v>
          </cell>
          <cell r="S1121">
            <v>22</v>
          </cell>
          <cell r="T1121">
            <v>390</v>
          </cell>
          <cell r="U1121">
            <v>24</v>
          </cell>
        </row>
        <row r="1122">
          <cell r="A1122" t="str">
            <v>KBMS-57H02-A (480 V)</v>
          </cell>
          <cell r="B1122">
            <v>115</v>
          </cell>
          <cell r="C1122">
            <v>23.4</v>
          </cell>
          <cell r="D1122">
            <v>33.5</v>
          </cell>
          <cell r="E1122">
            <v>5.22</v>
          </cell>
          <cell r="N1122">
            <v>24.931661036070302</v>
          </cell>
          <cell r="O1122">
            <v>1015</v>
          </cell>
          <cell r="P1122">
            <v>1228</v>
          </cell>
          <cell r="Q1122">
            <v>14.9</v>
          </cell>
          <cell r="R1122">
            <v>4.4000000000000004</v>
          </cell>
          <cell r="S1122">
            <v>22</v>
          </cell>
          <cell r="T1122">
            <v>390</v>
          </cell>
          <cell r="U1122">
            <v>24</v>
          </cell>
        </row>
        <row r="1123">
          <cell r="A1123" t="str">
            <v>KBMS-57H03-A (400 V)</v>
          </cell>
          <cell r="B1123">
            <v>218</v>
          </cell>
          <cell r="C1123">
            <v>26.1</v>
          </cell>
          <cell r="D1123">
            <v>59.9</v>
          </cell>
          <cell r="E1123">
            <v>5.47</v>
          </cell>
          <cell r="L1123">
            <v>51.264644827494706</v>
          </cell>
          <cell r="M1123">
            <v>475</v>
          </cell>
          <cell r="P1123">
            <v>597</v>
          </cell>
          <cell r="Q1123">
            <v>25.2</v>
          </cell>
          <cell r="R1123">
            <v>5.92</v>
          </cell>
          <cell r="S1123">
            <v>35</v>
          </cell>
          <cell r="T1123">
            <v>669</v>
          </cell>
          <cell r="U1123">
            <v>24</v>
          </cell>
        </row>
        <row r="1124">
          <cell r="A1124" t="str">
            <v>KBMS-57H03-A (480 V)</v>
          </cell>
          <cell r="B1124">
            <v>218</v>
          </cell>
          <cell r="C1124">
            <v>26.1</v>
          </cell>
          <cell r="D1124">
            <v>59.9</v>
          </cell>
          <cell r="E1124">
            <v>5.47</v>
          </cell>
          <cell r="N1124">
            <v>49.392913373346836</v>
          </cell>
          <cell r="O1124">
            <v>580</v>
          </cell>
          <cell r="P1124">
            <v>717</v>
          </cell>
          <cell r="Q1124">
            <v>25.2</v>
          </cell>
          <cell r="R1124">
            <v>5.92</v>
          </cell>
          <cell r="S1124">
            <v>35</v>
          </cell>
          <cell r="T1124">
            <v>669</v>
          </cell>
          <cell r="U1124">
            <v>24</v>
          </cell>
        </row>
        <row r="1125">
          <cell r="A1125" t="str">
            <v>KBMS-57S01-A (240 V)</v>
          </cell>
          <cell r="B1125">
            <v>46.1</v>
          </cell>
          <cell r="C1125">
            <v>18</v>
          </cell>
          <cell r="D1125">
            <v>18.8</v>
          </cell>
          <cell r="E1125">
            <v>5.67</v>
          </cell>
          <cell r="J1125">
            <v>16.00592325412811</v>
          </cell>
          <cell r="K1125">
            <v>880</v>
          </cell>
          <cell r="P1125">
            <v>1183</v>
          </cell>
          <cell r="Q1125">
            <v>9.49</v>
          </cell>
          <cell r="R1125">
            <v>3.39</v>
          </cell>
          <cell r="S1125">
            <v>13</v>
          </cell>
          <cell r="T1125">
            <v>203</v>
          </cell>
          <cell r="U1125">
            <v>24</v>
          </cell>
        </row>
        <row r="1126">
          <cell r="A1126" t="str">
            <v>KBMS-57S02-A (240 V)</v>
          </cell>
          <cell r="B1126">
            <v>115</v>
          </cell>
          <cell r="C1126">
            <v>23.4</v>
          </cell>
          <cell r="D1126">
            <v>33.5</v>
          </cell>
          <cell r="E1126">
            <v>5.22</v>
          </cell>
          <cell r="J1126">
            <v>29.506253494564866</v>
          </cell>
          <cell r="K1126">
            <v>445</v>
          </cell>
          <cell r="P1126">
            <v>612</v>
          </cell>
          <cell r="Q1126">
            <v>14.9</v>
          </cell>
          <cell r="R1126">
            <v>4.4000000000000004</v>
          </cell>
          <cell r="S1126">
            <v>22</v>
          </cell>
          <cell r="T1126">
            <v>390</v>
          </cell>
          <cell r="U1126">
            <v>24</v>
          </cell>
        </row>
        <row r="1127">
          <cell r="A1127" t="str">
            <v>KBMS-57S03-A (240 V)</v>
          </cell>
          <cell r="B1127">
            <v>218</v>
          </cell>
          <cell r="C1127">
            <v>26.1</v>
          </cell>
          <cell r="D1127">
            <v>59.9</v>
          </cell>
          <cell r="E1127">
            <v>5.47</v>
          </cell>
          <cell r="J1127">
            <v>53.858032742297389</v>
          </cell>
          <cell r="K1127">
            <v>250</v>
          </cell>
          <cell r="P1127">
            <v>357</v>
          </cell>
          <cell r="Q1127">
            <v>25.2</v>
          </cell>
          <cell r="R1127">
            <v>5.92</v>
          </cell>
          <cell r="S1127">
            <v>35</v>
          </cell>
          <cell r="T1127">
            <v>669</v>
          </cell>
          <cell r="U1127">
            <v>24</v>
          </cell>
        </row>
        <row r="1128">
          <cell r="A1128" t="str">
            <v>KBMS-79H01-A (400 V)</v>
          </cell>
          <cell r="B1128">
            <v>152</v>
          </cell>
          <cell r="C1128">
            <v>20.8</v>
          </cell>
          <cell r="D1128">
            <v>43.4</v>
          </cell>
          <cell r="E1128">
            <v>4.95</v>
          </cell>
          <cell r="L1128">
            <v>35.571129781038607</v>
          </cell>
          <cell r="M1128">
            <v>600</v>
          </cell>
          <cell r="P1128">
            <v>744</v>
          </cell>
          <cell r="Q1128">
            <v>44.5</v>
          </cell>
          <cell r="R1128">
            <v>6.26</v>
          </cell>
          <cell r="S1128">
            <v>23</v>
          </cell>
          <cell r="T1128">
            <v>534</v>
          </cell>
          <cell r="U1128">
            <v>32</v>
          </cell>
        </row>
        <row r="1129">
          <cell r="A1129" t="str">
            <v>KBMS-79H01-A (480 V)</v>
          </cell>
          <cell r="B1129">
            <v>152</v>
          </cell>
          <cell r="C1129">
            <v>20.8</v>
          </cell>
          <cell r="D1129">
            <v>43.4</v>
          </cell>
          <cell r="E1129">
            <v>4.95</v>
          </cell>
          <cell r="N1129">
            <v>33.814974895278034</v>
          </cell>
          <cell r="O1129">
            <v>730</v>
          </cell>
          <cell r="P1129">
            <v>894</v>
          </cell>
          <cell r="Q1129">
            <v>44.5</v>
          </cell>
          <cell r="R1129">
            <v>6.26</v>
          </cell>
          <cell r="S1129">
            <v>23</v>
          </cell>
          <cell r="T1129">
            <v>534</v>
          </cell>
          <cell r="U1129">
            <v>32</v>
          </cell>
        </row>
        <row r="1130">
          <cell r="A1130" t="str">
            <v>KBMS-79H02-A (400 V)</v>
          </cell>
          <cell r="B1130">
            <v>319</v>
          </cell>
          <cell r="C1130">
            <v>26.1</v>
          </cell>
          <cell r="D1130">
            <v>79.31</v>
          </cell>
          <cell r="E1130">
            <v>5.39</v>
          </cell>
          <cell r="L1130">
            <v>67.254331666546648</v>
          </cell>
          <cell r="M1130">
            <v>350</v>
          </cell>
          <cell r="P1130">
            <v>443</v>
          </cell>
          <cell r="Q1130">
            <v>71.5</v>
          </cell>
          <cell r="R1130">
            <v>6.4</v>
          </cell>
          <cell r="S1130">
            <v>32</v>
          </cell>
          <cell r="T1130">
            <v>901</v>
          </cell>
          <cell r="U1130">
            <v>32</v>
          </cell>
        </row>
        <row r="1131">
          <cell r="A1131" t="str">
            <v>KBMS-79H02-A (480 V)</v>
          </cell>
          <cell r="B1131">
            <v>319</v>
          </cell>
          <cell r="C1131">
            <v>26.1</v>
          </cell>
          <cell r="D1131">
            <v>79.31</v>
          </cell>
          <cell r="E1131">
            <v>5.39</v>
          </cell>
          <cell r="N1131">
            <v>64.846386115581552</v>
          </cell>
          <cell r="O1131">
            <v>430</v>
          </cell>
          <cell r="P1131">
            <v>532</v>
          </cell>
          <cell r="Q1131">
            <v>71.5</v>
          </cell>
          <cell r="R1131">
            <v>6.4</v>
          </cell>
          <cell r="S1131">
            <v>32</v>
          </cell>
          <cell r="T1131">
            <v>901</v>
          </cell>
          <cell r="U1131">
            <v>32</v>
          </cell>
        </row>
        <row r="1132">
          <cell r="A1132" t="str">
            <v>KBMS-79H03-A (400 V)</v>
          </cell>
          <cell r="B1132">
            <v>637</v>
          </cell>
          <cell r="C1132">
            <v>36.700000000000003</v>
          </cell>
          <cell r="D1132">
            <v>143</v>
          </cell>
          <cell r="E1132">
            <v>6.76</v>
          </cell>
          <cell r="L1132">
            <v>122.74824985962429</v>
          </cell>
          <cell r="M1132">
            <v>240</v>
          </cell>
          <cell r="P1132">
            <v>307</v>
          </cell>
          <cell r="Q1132">
            <v>125</v>
          </cell>
          <cell r="R1132">
            <v>5.75</v>
          </cell>
          <cell r="S1132">
            <v>34</v>
          </cell>
          <cell r="T1132">
            <v>1300</v>
          </cell>
          <cell r="U1132">
            <v>32</v>
          </cell>
        </row>
        <row r="1133">
          <cell r="A1133" t="str">
            <v>KBMS-79H03-A (480 V)</v>
          </cell>
          <cell r="B1133">
            <v>637</v>
          </cell>
          <cell r="C1133">
            <v>36.700000000000003</v>
          </cell>
          <cell r="D1133">
            <v>143</v>
          </cell>
          <cell r="E1133">
            <v>6.76</v>
          </cell>
          <cell r="N1133">
            <v>119.2070523758296</v>
          </cell>
          <cell r="O1133">
            <v>300</v>
          </cell>
          <cell r="P1133">
            <v>369</v>
          </cell>
          <cell r="Q1133">
            <v>125</v>
          </cell>
          <cell r="R1133">
            <v>5.75</v>
          </cell>
          <cell r="S1133">
            <v>34</v>
          </cell>
          <cell r="T1133">
            <v>1300</v>
          </cell>
          <cell r="U1133">
            <v>32</v>
          </cell>
        </row>
        <row r="1134">
          <cell r="A1134" t="str">
            <v>KBMS-79S01-A (240 V)</v>
          </cell>
          <cell r="B1134">
            <v>152</v>
          </cell>
          <cell r="C1134">
            <v>20.8</v>
          </cell>
          <cell r="D1134">
            <v>43.4</v>
          </cell>
          <cell r="E1134">
            <v>4.95</v>
          </cell>
          <cell r="J1134">
            <v>38.505228167394037</v>
          </cell>
          <cell r="K1134">
            <v>310</v>
          </cell>
          <cell r="P1134">
            <v>445</v>
          </cell>
          <cell r="Q1134">
            <v>44.5</v>
          </cell>
          <cell r="R1134">
            <v>6.26</v>
          </cell>
          <cell r="S1134">
            <v>23</v>
          </cell>
          <cell r="T1134">
            <v>534</v>
          </cell>
          <cell r="U1134">
            <v>32</v>
          </cell>
        </row>
        <row r="1135">
          <cell r="A1135" t="str">
            <v>KBMS-79S02-A (240 V)</v>
          </cell>
          <cell r="B1135">
            <v>319</v>
          </cell>
          <cell r="C1135">
            <v>26.1</v>
          </cell>
          <cell r="D1135">
            <v>79.31</v>
          </cell>
          <cell r="E1135">
            <v>5.39</v>
          </cell>
          <cell r="J1135">
            <v>71.354466152866408</v>
          </cell>
          <cell r="K1135">
            <v>180</v>
          </cell>
          <cell r="P1135">
            <v>265</v>
          </cell>
          <cell r="Q1135">
            <v>71.5</v>
          </cell>
          <cell r="R1135">
            <v>6.4</v>
          </cell>
          <cell r="S1135">
            <v>32</v>
          </cell>
          <cell r="T1135">
            <v>901</v>
          </cell>
          <cell r="U1135">
            <v>32</v>
          </cell>
        </row>
        <row r="1136">
          <cell r="A1136" t="str">
            <v>KBMS-79S03-A (240 V)</v>
          </cell>
          <cell r="B1136">
            <v>637</v>
          </cell>
          <cell r="C1136">
            <v>36.700000000000003</v>
          </cell>
          <cell r="D1136">
            <v>143</v>
          </cell>
          <cell r="E1136">
            <v>6.76</v>
          </cell>
          <cell r="J1136">
            <v>128.72451797272495</v>
          </cell>
          <cell r="K1136">
            <v>125</v>
          </cell>
          <cell r="P1136">
            <v>184</v>
          </cell>
          <cell r="Q1136">
            <v>125</v>
          </cell>
          <cell r="R1136">
            <v>5.75</v>
          </cell>
          <cell r="S1136">
            <v>34</v>
          </cell>
          <cell r="T1136">
            <v>1300</v>
          </cell>
          <cell r="U1136">
            <v>32</v>
          </cell>
        </row>
        <row r="1137">
          <cell r="A1137" t="str">
            <v>KBMS-118H01-A (400 V)</v>
          </cell>
          <cell r="B1137">
            <v>994</v>
          </cell>
          <cell r="C1137">
            <v>151</v>
          </cell>
          <cell r="D1137">
            <v>325</v>
          </cell>
          <cell r="E1137">
            <v>43.7</v>
          </cell>
          <cell r="L1137">
            <v>109.48238123518914</v>
          </cell>
          <cell r="M1137">
            <v>785</v>
          </cell>
          <cell r="P1137">
            <v>872</v>
          </cell>
          <cell r="Q1137">
            <v>315</v>
          </cell>
          <cell r="R1137">
            <v>0.27600000000000002</v>
          </cell>
          <cell r="S1137">
            <v>2.5</v>
          </cell>
          <cell r="T1137">
            <v>648</v>
          </cell>
          <cell r="U1137">
            <v>38</v>
          </cell>
        </row>
        <row r="1138">
          <cell r="A1138" t="str">
            <v>KBMS-118H02-A (400 V)</v>
          </cell>
          <cell r="B1138">
            <v>1451</v>
          </cell>
          <cell r="C1138">
            <v>171</v>
          </cell>
          <cell r="D1138">
            <v>445</v>
          </cell>
          <cell r="E1138">
            <v>46.5</v>
          </cell>
          <cell r="L1138">
            <v>239.54167706034417</v>
          </cell>
          <cell r="M1138">
            <v>590</v>
          </cell>
          <cell r="P1138">
            <v>685</v>
          </cell>
          <cell r="Q1138">
            <v>403</v>
          </cell>
          <cell r="R1138">
            <v>0.29199999999999998</v>
          </cell>
          <cell r="S1138">
            <v>2.7</v>
          </cell>
          <cell r="T1138">
            <v>585</v>
          </cell>
          <cell r="U1138">
            <v>38</v>
          </cell>
        </row>
        <row r="1139">
          <cell r="A1139" t="str">
            <v>KBMS-118H02-A (480 V)</v>
          </cell>
          <cell r="B1139">
            <v>1451</v>
          </cell>
          <cell r="C1139">
            <v>171</v>
          </cell>
          <cell r="D1139">
            <v>445</v>
          </cell>
          <cell r="E1139">
            <v>46.5</v>
          </cell>
          <cell r="N1139">
            <v>139.13728616498514</v>
          </cell>
          <cell r="O1139">
            <v>710</v>
          </cell>
          <cell r="P1139">
            <v>822</v>
          </cell>
          <cell r="Q1139">
            <v>403</v>
          </cell>
          <cell r="R1139">
            <v>0.29199999999999998</v>
          </cell>
          <cell r="S1139">
            <v>2.7</v>
          </cell>
          <cell r="T1139">
            <v>585</v>
          </cell>
          <cell r="U1139">
            <v>38</v>
          </cell>
        </row>
        <row r="1140">
          <cell r="A1140" t="str">
            <v>KBMS-118H03-A (400 V)</v>
          </cell>
          <cell r="B1140">
            <v>1932</v>
          </cell>
          <cell r="C1140">
            <v>171</v>
          </cell>
          <cell r="D1140">
            <v>560</v>
          </cell>
          <cell r="E1140">
            <v>44</v>
          </cell>
          <cell r="L1140">
            <v>374.83733148884318</v>
          </cell>
          <cell r="M1140">
            <v>435</v>
          </cell>
          <cell r="P1140">
            <v>516</v>
          </cell>
          <cell r="Q1140">
            <v>591</v>
          </cell>
          <cell r="R1140">
            <v>0.373</v>
          </cell>
          <cell r="S1140">
            <v>4.3</v>
          </cell>
          <cell r="T1140">
            <v>775</v>
          </cell>
          <cell r="U1140">
            <v>38</v>
          </cell>
        </row>
        <row r="1141">
          <cell r="A1141" t="str">
            <v>KBMS-118H03-A (480 V)</v>
          </cell>
          <cell r="B1141">
            <v>1932</v>
          </cell>
          <cell r="C1141">
            <v>171</v>
          </cell>
          <cell r="D1141">
            <v>560</v>
          </cell>
          <cell r="E1141">
            <v>44</v>
          </cell>
          <cell r="N1141">
            <v>302.72162633703306</v>
          </cell>
          <cell r="O1141">
            <v>535</v>
          </cell>
          <cell r="P1141">
            <v>619</v>
          </cell>
          <cell r="Q1141">
            <v>591</v>
          </cell>
          <cell r="R1141">
            <v>0.373</v>
          </cell>
          <cell r="S1141">
            <v>4.3</v>
          </cell>
          <cell r="T1141">
            <v>775</v>
          </cell>
          <cell r="U1141">
            <v>38</v>
          </cell>
        </row>
        <row r="1142">
          <cell r="A1142" t="str">
            <v>KBMS-118H04-A (400 V)</v>
          </cell>
          <cell r="B1142">
            <v>2400</v>
          </cell>
          <cell r="C1142">
            <v>171</v>
          </cell>
          <cell r="D1142">
            <v>672</v>
          </cell>
          <cell r="E1142">
            <v>42.8</v>
          </cell>
          <cell r="L1142">
            <v>502.32108656444967</v>
          </cell>
          <cell r="M1142">
            <v>340</v>
          </cell>
          <cell r="P1142">
            <v>413</v>
          </cell>
          <cell r="Q1142">
            <v>698</v>
          </cell>
          <cell r="R1142">
            <v>0.45500000000000002</v>
          </cell>
          <cell r="S1142">
            <v>4.5</v>
          </cell>
          <cell r="T1142">
            <v>970</v>
          </cell>
          <cell r="U1142">
            <v>38</v>
          </cell>
        </row>
        <row r="1143">
          <cell r="A1143" t="str">
            <v>KBMS-118H04-A (480 V)</v>
          </cell>
          <cell r="B1143">
            <v>2400</v>
          </cell>
          <cell r="C1143">
            <v>171</v>
          </cell>
          <cell r="D1143">
            <v>672</v>
          </cell>
          <cell r="E1143">
            <v>42.8</v>
          </cell>
          <cell r="N1143">
            <v>450.74953525668928</v>
          </cell>
          <cell r="O1143">
            <v>420</v>
          </cell>
          <cell r="P1143">
            <v>495</v>
          </cell>
          <cell r="Q1143">
            <v>698</v>
          </cell>
          <cell r="R1143">
            <v>0.45500000000000002</v>
          </cell>
          <cell r="S1143">
            <v>4.5</v>
          </cell>
          <cell r="T1143">
            <v>970</v>
          </cell>
          <cell r="U1143">
            <v>38</v>
          </cell>
        </row>
        <row r="1144">
          <cell r="A1144" t="str">
            <v>KBMS-118S01-A (240 V)</v>
          </cell>
          <cell r="B1144">
            <v>994</v>
          </cell>
          <cell r="C1144">
            <v>151</v>
          </cell>
          <cell r="D1144">
            <v>325</v>
          </cell>
          <cell r="E1144">
            <v>43.7</v>
          </cell>
          <cell r="J1144">
            <v>252.45952847951898</v>
          </cell>
          <cell r="K1144">
            <v>400</v>
          </cell>
          <cell r="P1144">
            <v>523</v>
          </cell>
          <cell r="Q1144">
            <v>315</v>
          </cell>
          <cell r="R1144">
            <v>0.27600000000000002</v>
          </cell>
          <cell r="S1144">
            <v>2.5</v>
          </cell>
          <cell r="T1144">
            <v>648</v>
          </cell>
          <cell r="U1144">
            <v>38</v>
          </cell>
        </row>
        <row r="1145">
          <cell r="A1145" t="str">
            <v>KBMS-118S02-A (240 V)</v>
          </cell>
          <cell r="B1145">
            <v>1451</v>
          </cell>
          <cell r="C1145">
            <v>171</v>
          </cell>
          <cell r="D1145">
            <v>445</v>
          </cell>
          <cell r="E1145">
            <v>46.5</v>
          </cell>
          <cell r="J1145">
            <v>356.90495988357532</v>
          </cell>
          <cell r="K1145">
            <v>320</v>
          </cell>
          <cell r="P1145">
            <v>411</v>
          </cell>
          <cell r="Q1145">
            <v>403</v>
          </cell>
          <cell r="R1145">
            <v>0.29199999999999998</v>
          </cell>
          <cell r="S1145">
            <v>2.7</v>
          </cell>
          <cell r="T1145">
            <v>585</v>
          </cell>
          <cell r="U1145">
            <v>38</v>
          </cell>
        </row>
        <row r="1146">
          <cell r="A1146" t="str">
            <v>KBMS-118S03-A (240 V)</v>
          </cell>
          <cell r="B1146">
            <v>1932</v>
          </cell>
          <cell r="C1146">
            <v>171</v>
          </cell>
          <cell r="D1146">
            <v>560</v>
          </cell>
          <cell r="E1146">
            <v>44</v>
          </cell>
          <cell r="J1146">
            <v>467.30600312088416</v>
          </cell>
          <cell r="K1146">
            <v>235</v>
          </cell>
          <cell r="P1146">
            <v>309</v>
          </cell>
          <cell r="Q1146">
            <v>591</v>
          </cell>
          <cell r="R1146">
            <v>0.373</v>
          </cell>
          <cell r="S1146">
            <v>4.3</v>
          </cell>
          <cell r="T1146">
            <v>775</v>
          </cell>
          <cell r="U1146">
            <v>38</v>
          </cell>
        </row>
        <row r="1147">
          <cell r="A1147" t="str">
            <v>KBMS-118S04-A (240 V)</v>
          </cell>
          <cell r="B1147">
            <v>2400</v>
          </cell>
          <cell r="C1147">
            <v>171</v>
          </cell>
          <cell r="D1147">
            <v>672</v>
          </cell>
          <cell r="E1147">
            <v>42.8</v>
          </cell>
          <cell r="J1147">
            <v>577.08722068131567</v>
          </cell>
          <cell r="K1147">
            <v>185</v>
          </cell>
          <cell r="P1147">
            <v>247</v>
          </cell>
          <cell r="Q1147">
            <v>698</v>
          </cell>
          <cell r="R1147">
            <v>0.45500000000000002</v>
          </cell>
          <cell r="S1147">
            <v>4.5</v>
          </cell>
          <cell r="T1147">
            <v>970</v>
          </cell>
          <cell r="U1147">
            <v>38</v>
          </cell>
        </row>
        <row r="1148">
          <cell r="A1148" t="str">
            <v>KBMS-60H01-A (400 V)</v>
          </cell>
          <cell r="B1148">
            <v>127</v>
          </cell>
          <cell r="C1148">
            <v>40</v>
          </cell>
          <cell r="D1148">
            <v>54</v>
          </cell>
          <cell r="E1148">
            <v>13.7</v>
          </cell>
          <cell r="L1148">
            <v>34.759439571269944</v>
          </cell>
          <cell r="M1148">
            <v>1250</v>
          </cell>
          <cell r="P1148">
            <v>1639</v>
          </cell>
          <cell r="Q1148">
            <v>25.6</v>
          </cell>
          <cell r="R1148">
            <v>0.91600000000000004</v>
          </cell>
          <cell r="S1148">
            <v>7.8</v>
          </cell>
          <cell r="T1148">
            <v>245</v>
          </cell>
          <cell r="U1148">
            <v>38</v>
          </cell>
        </row>
        <row r="1149">
          <cell r="A1149" t="str">
            <v>KBMS-60H01-A (480 V)</v>
          </cell>
          <cell r="B1149">
            <v>127</v>
          </cell>
          <cell r="C1149">
            <v>40</v>
          </cell>
          <cell r="D1149">
            <v>54</v>
          </cell>
          <cell r="E1149">
            <v>13.7</v>
          </cell>
          <cell r="N1149">
            <v>24.858012674165401</v>
          </cell>
          <cell r="O1149">
            <v>1600</v>
          </cell>
          <cell r="P1149">
            <v>1895</v>
          </cell>
          <cell r="Q1149">
            <v>25.6</v>
          </cell>
          <cell r="R1149">
            <v>0.91600000000000004</v>
          </cell>
          <cell r="S1149">
            <v>7.8</v>
          </cell>
          <cell r="T1149">
            <v>245</v>
          </cell>
          <cell r="U1149">
            <v>38</v>
          </cell>
        </row>
        <row r="1150">
          <cell r="A1150" t="str">
            <v>KBMS-60H02-A (400 V)</v>
          </cell>
          <cell r="B1150">
            <v>255</v>
          </cell>
          <cell r="C1150">
            <v>50.4</v>
          </cell>
          <cell r="D1150">
            <v>108</v>
          </cell>
          <cell r="E1150">
            <v>16.399999999999999</v>
          </cell>
          <cell r="L1150">
            <v>88.643815200699777</v>
          </cell>
          <cell r="M1150">
            <v>725</v>
          </cell>
          <cell r="P1150">
            <v>974</v>
          </cell>
          <cell r="Q1150">
            <v>42</v>
          </cell>
          <cell r="R1150">
            <v>0.92100000000000004</v>
          </cell>
          <cell r="S1150">
            <v>11</v>
          </cell>
          <cell r="T1150">
            <v>411</v>
          </cell>
          <cell r="U1150">
            <v>38</v>
          </cell>
        </row>
        <row r="1151">
          <cell r="A1151" t="str">
            <v>KBMS-60H02-A (480 V)</v>
          </cell>
          <cell r="B1151">
            <v>255</v>
          </cell>
          <cell r="C1151">
            <v>50.4</v>
          </cell>
          <cell r="D1151">
            <v>108</v>
          </cell>
          <cell r="E1151">
            <v>16.399999999999999</v>
          </cell>
          <cell r="N1151">
            <v>84.001439455620698</v>
          </cell>
          <cell r="O1151">
            <v>885</v>
          </cell>
          <cell r="P1151">
            <v>1169</v>
          </cell>
          <cell r="Q1151">
            <v>42</v>
          </cell>
          <cell r="R1151">
            <v>0.92100000000000004</v>
          </cell>
          <cell r="S1151">
            <v>11</v>
          </cell>
          <cell r="T1151">
            <v>411</v>
          </cell>
          <cell r="U1151">
            <v>38</v>
          </cell>
        </row>
        <row r="1152">
          <cell r="A1152" t="str">
            <v>KBMS-60H03-A (400 V)</v>
          </cell>
          <cell r="B1152">
            <v>393</v>
          </cell>
          <cell r="C1152">
            <v>63.3</v>
          </cell>
          <cell r="D1152">
            <v>154</v>
          </cell>
          <cell r="E1152">
            <v>18.7</v>
          </cell>
          <cell r="L1152">
            <v>119.77083853017209</v>
          </cell>
          <cell r="M1152">
            <v>590</v>
          </cell>
          <cell r="P1152">
            <v>778</v>
          </cell>
          <cell r="Q1152">
            <v>52.900000000000006</v>
          </cell>
          <cell r="R1152">
            <v>0.86699999999999999</v>
          </cell>
          <cell r="S1152">
            <v>11</v>
          </cell>
          <cell r="T1152">
            <v>515</v>
          </cell>
          <cell r="U1152">
            <v>38</v>
          </cell>
        </row>
        <row r="1153">
          <cell r="A1153" t="str">
            <v>KBMS-60H03-A (480 V)</v>
          </cell>
          <cell r="B1153">
            <v>393</v>
          </cell>
          <cell r="C1153">
            <v>63.3</v>
          </cell>
          <cell r="D1153">
            <v>154</v>
          </cell>
          <cell r="E1153">
            <v>18.7</v>
          </cell>
          <cell r="N1153">
            <v>110.74531456811052</v>
          </cell>
          <cell r="O1153">
            <v>720</v>
          </cell>
          <cell r="P1153">
            <v>930</v>
          </cell>
          <cell r="Q1153">
            <v>52.900000000000006</v>
          </cell>
          <cell r="R1153">
            <v>0.86699999999999999</v>
          </cell>
          <cell r="S1153">
            <v>11</v>
          </cell>
          <cell r="T1153">
            <v>515</v>
          </cell>
          <cell r="U1153">
            <v>38</v>
          </cell>
        </row>
        <row r="1154">
          <cell r="A1154" t="str">
            <v>KBMS-60S01-A (240 V)</v>
          </cell>
          <cell r="B1154">
            <v>127</v>
          </cell>
          <cell r="C1154">
            <v>40</v>
          </cell>
          <cell r="D1154">
            <v>54</v>
          </cell>
          <cell r="E1154">
            <v>13.7</v>
          </cell>
          <cell r="J1154">
            <v>44.708070377632424</v>
          </cell>
          <cell r="K1154">
            <v>660</v>
          </cell>
          <cell r="P1154">
            <v>983</v>
          </cell>
          <cell r="Q1154">
            <v>25.6</v>
          </cell>
          <cell r="R1154">
            <v>0.91600000000000004</v>
          </cell>
          <cell r="S1154">
            <v>7.8</v>
          </cell>
          <cell r="T1154">
            <v>245</v>
          </cell>
          <cell r="U1154">
            <v>38</v>
          </cell>
        </row>
        <row r="1155">
          <cell r="A1155" t="str">
            <v>KBMS-60S02-A (240 V)</v>
          </cell>
          <cell r="B1155">
            <v>255</v>
          </cell>
          <cell r="C1155">
            <v>50.4</v>
          </cell>
          <cell r="D1155">
            <v>108</v>
          </cell>
          <cell r="E1155">
            <v>16.399999999999999</v>
          </cell>
          <cell r="J1155">
            <v>95.989033210228826</v>
          </cell>
          <cell r="K1155">
            <v>385</v>
          </cell>
          <cell r="P1155">
            <v>584</v>
          </cell>
          <cell r="Q1155">
            <v>42</v>
          </cell>
          <cell r="R1155">
            <v>0.92100000000000004</v>
          </cell>
          <cell r="S1155">
            <v>11</v>
          </cell>
          <cell r="T1155">
            <v>411</v>
          </cell>
          <cell r="U1155">
            <v>38</v>
          </cell>
        </row>
        <row r="1156">
          <cell r="A1156" t="str">
            <v>KBMS-60S03-A (240 V)</v>
          </cell>
          <cell r="B1156">
            <v>393</v>
          </cell>
          <cell r="C1156">
            <v>63.3</v>
          </cell>
          <cell r="D1156">
            <v>154</v>
          </cell>
          <cell r="E1156">
            <v>18.7</v>
          </cell>
          <cell r="J1156">
            <v>133.38699992463609</v>
          </cell>
          <cell r="K1156">
            <v>315</v>
          </cell>
          <cell r="P1156">
            <v>467</v>
          </cell>
          <cell r="Q1156">
            <v>52.900000000000006</v>
          </cell>
          <cell r="R1156">
            <v>0.86699999999999999</v>
          </cell>
          <cell r="S1156">
            <v>11</v>
          </cell>
          <cell r="T1156">
            <v>515</v>
          </cell>
          <cell r="U1156">
            <v>38</v>
          </cell>
        </row>
        <row r="1157">
          <cell r="A1157" t="str">
            <v>KBMS-88H01-A (400 V)</v>
          </cell>
          <cell r="B1157">
            <v>414</v>
          </cell>
          <cell r="C1157">
            <v>40</v>
          </cell>
          <cell r="D1157">
            <v>205</v>
          </cell>
          <cell r="E1157">
            <v>17</v>
          </cell>
          <cell r="L1157">
            <v>162.33804195373327</v>
          </cell>
          <cell r="M1157">
            <v>425</v>
          </cell>
          <cell r="P1157">
            <v>542</v>
          </cell>
          <cell r="Q1157">
            <v>146</v>
          </cell>
          <cell r="R1157">
            <v>0.93</v>
          </cell>
          <cell r="S1157">
            <v>13</v>
          </cell>
          <cell r="T1157">
            <v>738</v>
          </cell>
          <cell r="U1157">
            <v>46</v>
          </cell>
        </row>
        <row r="1158">
          <cell r="A1158" t="str">
            <v>KBMS-88H01-A (480 V)</v>
          </cell>
          <cell r="B1158">
            <v>414</v>
          </cell>
          <cell r="C1158">
            <v>40</v>
          </cell>
          <cell r="D1158">
            <v>205</v>
          </cell>
          <cell r="E1158">
            <v>17</v>
          </cell>
          <cell r="N1158">
            <v>151.31962281660205</v>
          </cell>
          <cell r="O1158">
            <v>520</v>
          </cell>
          <cell r="P1158">
            <v>651</v>
          </cell>
          <cell r="Q1158">
            <v>146</v>
          </cell>
          <cell r="R1158">
            <v>0.93</v>
          </cell>
          <cell r="S1158">
            <v>13</v>
          </cell>
          <cell r="T1158">
            <v>738</v>
          </cell>
          <cell r="U1158">
            <v>46</v>
          </cell>
        </row>
        <row r="1159">
          <cell r="A1159" t="str">
            <v>KBMS-88H01-B (400 V)</v>
          </cell>
          <cell r="B1159">
            <v>414</v>
          </cell>
          <cell r="C1159">
            <v>75.400000000000006</v>
          </cell>
          <cell r="D1159">
            <v>205</v>
          </cell>
          <cell r="E1159">
            <v>32</v>
          </cell>
          <cell r="L1159">
            <v>66.998273370021394</v>
          </cell>
          <cell r="M1159">
            <v>935</v>
          </cell>
          <cell r="P1159">
            <v>1006</v>
          </cell>
          <cell r="Q1159">
            <v>146</v>
          </cell>
          <cell r="R1159">
            <v>0.26100000000000001</v>
          </cell>
          <cell r="S1159">
            <v>3.7</v>
          </cell>
          <cell r="T1159">
            <v>397</v>
          </cell>
          <cell r="U1159">
            <v>46</v>
          </cell>
        </row>
        <row r="1160">
          <cell r="A1160" t="str">
            <v>KBMS-88H01-B (480 V)</v>
          </cell>
          <cell r="B1160">
            <v>414</v>
          </cell>
          <cell r="C1160">
            <v>75.400000000000006</v>
          </cell>
          <cell r="D1160">
            <v>205</v>
          </cell>
          <cell r="E1160">
            <v>32</v>
          </cell>
          <cell r="N1160">
            <v>67.048252621692072</v>
          </cell>
          <cell r="O1160">
            <v>940</v>
          </cell>
          <cell r="P1160">
            <v>1068</v>
          </cell>
          <cell r="Q1160">
            <v>146</v>
          </cell>
          <cell r="R1160">
            <v>0.26100000000000001</v>
          </cell>
          <cell r="S1160">
            <v>3.7</v>
          </cell>
          <cell r="T1160">
            <v>397</v>
          </cell>
          <cell r="U1160">
            <v>46</v>
          </cell>
        </row>
        <row r="1161">
          <cell r="A1161" t="str">
            <v>KBMS-88H02-A (400 V)</v>
          </cell>
          <cell r="B1161">
            <v>789</v>
          </cell>
          <cell r="C1161">
            <v>40</v>
          </cell>
          <cell r="D1161">
            <v>385</v>
          </cell>
          <cell r="E1161">
            <v>15</v>
          </cell>
          <cell r="L1161">
            <v>331.71240770731868</v>
          </cell>
          <cell r="M1161">
            <v>190</v>
          </cell>
          <cell r="P1161">
            <v>257</v>
          </cell>
          <cell r="Q1161">
            <v>247</v>
          </cell>
          <cell r="R1161">
            <v>1.66</v>
          </cell>
          <cell r="S1161">
            <v>29</v>
          </cell>
          <cell r="T1161">
            <v>1560</v>
          </cell>
          <cell r="U1161">
            <v>46</v>
          </cell>
        </row>
        <row r="1162">
          <cell r="A1162" t="str">
            <v>KBMS-88H02-A (480 V)</v>
          </cell>
          <cell r="B1162">
            <v>789</v>
          </cell>
          <cell r="C1162">
            <v>40</v>
          </cell>
          <cell r="D1162">
            <v>385</v>
          </cell>
          <cell r="E1162">
            <v>15</v>
          </cell>
          <cell r="N1162">
            <v>323.05067172269821</v>
          </cell>
          <cell r="O1162">
            <v>235</v>
          </cell>
          <cell r="P1162">
            <v>309</v>
          </cell>
          <cell r="Q1162">
            <v>247</v>
          </cell>
          <cell r="R1162">
            <v>1.66</v>
          </cell>
          <cell r="S1162">
            <v>29</v>
          </cell>
          <cell r="T1162">
            <v>1560</v>
          </cell>
          <cell r="U1162">
            <v>46</v>
          </cell>
        </row>
        <row r="1163">
          <cell r="A1163" t="str">
            <v>KBMS-88H02-B (400 V)</v>
          </cell>
          <cell r="B1163">
            <v>789</v>
          </cell>
          <cell r="C1163">
            <v>75.400000000000006</v>
          </cell>
          <cell r="D1163">
            <v>385</v>
          </cell>
          <cell r="E1163">
            <v>31.7</v>
          </cell>
          <cell r="L1163">
            <v>273.02307055855135</v>
          </cell>
          <cell r="M1163">
            <v>440</v>
          </cell>
          <cell r="P1163">
            <v>545</v>
          </cell>
          <cell r="Q1163">
            <v>247</v>
          </cell>
          <cell r="R1163">
            <v>0.36899999999999999</v>
          </cell>
          <cell r="S1163">
            <v>6.4</v>
          </cell>
          <cell r="T1163">
            <v>733</v>
          </cell>
          <cell r="U1163">
            <v>46</v>
          </cell>
        </row>
        <row r="1164">
          <cell r="A1164" t="str">
            <v>KBMS-88H02-B (480 V)</v>
          </cell>
          <cell r="B1164">
            <v>789</v>
          </cell>
          <cell r="C1164">
            <v>75.400000000000006</v>
          </cell>
          <cell r="D1164">
            <v>385</v>
          </cell>
          <cell r="E1164">
            <v>31.7</v>
          </cell>
          <cell r="N1164">
            <v>233.08964847367582</v>
          </cell>
          <cell r="O1164">
            <v>550</v>
          </cell>
          <cell r="P1164">
            <v>654</v>
          </cell>
          <cell r="Q1164">
            <v>247</v>
          </cell>
          <cell r="R1164">
            <v>0.36899999999999999</v>
          </cell>
          <cell r="S1164">
            <v>6.4</v>
          </cell>
          <cell r="T1164">
            <v>733</v>
          </cell>
          <cell r="U1164">
            <v>46</v>
          </cell>
        </row>
        <row r="1165">
          <cell r="A1165" t="str">
            <v>KBMS-88H03-A (400 V)</v>
          </cell>
          <cell r="B1165">
            <v>1200</v>
          </cell>
          <cell r="C1165">
            <v>53.1</v>
          </cell>
          <cell r="D1165">
            <v>538</v>
          </cell>
          <cell r="E1165">
            <v>18.100000000000001</v>
          </cell>
          <cell r="L1165">
            <v>462.41745283790686</v>
          </cell>
          <cell r="M1165">
            <v>165</v>
          </cell>
          <cell r="P1165">
            <v>221</v>
          </cell>
          <cell r="Q1165">
            <v>315</v>
          </cell>
          <cell r="R1165">
            <v>1.41</v>
          </cell>
          <cell r="S1165">
            <v>26</v>
          </cell>
          <cell r="T1165">
            <v>1812</v>
          </cell>
          <cell r="U1165">
            <v>46</v>
          </cell>
        </row>
        <row r="1166">
          <cell r="A1166" t="str">
            <v>KBMS-88H03-A (480 V)</v>
          </cell>
          <cell r="B1166">
            <v>1200</v>
          </cell>
          <cell r="C1166">
            <v>53.1</v>
          </cell>
          <cell r="D1166">
            <v>538</v>
          </cell>
          <cell r="E1166">
            <v>18.100000000000001</v>
          </cell>
          <cell r="N1166">
            <v>443.08736156783664</v>
          </cell>
          <cell r="O1166">
            <v>225</v>
          </cell>
          <cell r="P1166">
            <v>265</v>
          </cell>
          <cell r="Q1166">
            <v>315</v>
          </cell>
          <cell r="R1166">
            <v>1.41</v>
          </cell>
          <cell r="S1166">
            <v>26</v>
          </cell>
          <cell r="T1166">
            <v>1812</v>
          </cell>
          <cell r="U1166">
            <v>46</v>
          </cell>
        </row>
        <row r="1167">
          <cell r="A1167" t="str">
            <v>KBMS-88H03-B (400 V)</v>
          </cell>
          <cell r="B1167">
            <v>1200</v>
          </cell>
          <cell r="C1167">
            <v>106</v>
          </cell>
          <cell r="D1167">
            <v>545</v>
          </cell>
          <cell r="E1167">
            <v>35.5</v>
          </cell>
          <cell r="L1167">
            <v>400.51687418082179</v>
          </cell>
          <cell r="M1167">
            <v>345</v>
          </cell>
          <cell r="P1167">
            <v>426</v>
          </cell>
          <cell r="Q1167">
            <v>315</v>
          </cell>
          <cell r="R1167">
            <v>0.37</v>
          </cell>
          <cell r="S1167">
            <v>7</v>
          </cell>
          <cell r="T1167">
            <v>940</v>
          </cell>
          <cell r="U1167">
            <v>46</v>
          </cell>
        </row>
        <row r="1168">
          <cell r="A1168" t="str">
            <v>KBMS-88H03-B (480 V)</v>
          </cell>
          <cell r="B1168">
            <v>1200</v>
          </cell>
          <cell r="C1168">
            <v>106</v>
          </cell>
          <cell r="D1168">
            <v>545</v>
          </cell>
          <cell r="E1168">
            <v>35.5</v>
          </cell>
          <cell r="N1168">
            <v>359.5029302781636</v>
          </cell>
          <cell r="O1168">
            <v>425</v>
          </cell>
          <cell r="P1168">
            <v>511</v>
          </cell>
          <cell r="Q1168">
            <v>315</v>
          </cell>
          <cell r="R1168">
            <v>0.37</v>
          </cell>
          <cell r="S1168">
            <v>7</v>
          </cell>
          <cell r="T1168">
            <v>940</v>
          </cell>
          <cell r="U1168">
            <v>46</v>
          </cell>
        </row>
        <row r="1169">
          <cell r="A1169" t="str">
            <v>KBMS-88S01-A (240 V)</v>
          </cell>
          <cell r="B1169">
            <v>414</v>
          </cell>
          <cell r="C1169">
            <v>40</v>
          </cell>
          <cell r="D1169">
            <v>205</v>
          </cell>
          <cell r="E1169">
            <v>17</v>
          </cell>
          <cell r="J1169">
            <v>179.31456921686876</v>
          </cell>
          <cell r="K1169">
            <v>225</v>
          </cell>
          <cell r="P1169">
            <v>325</v>
          </cell>
          <cell r="Q1169">
            <v>146</v>
          </cell>
          <cell r="R1169">
            <v>0.93</v>
          </cell>
          <cell r="S1169">
            <v>13</v>
          </cell>
          <cell r="T1169">
            <v>738</v>
          </cell>
          <cell r="U1169">
            <v>46</v>
          </cell>
        </row>
        <row r="1170">
          <cell r="A1170" t="str">
            <v>KBMS-88S01-B (240 V)</v>
          </cell>
          <cell r="B1170">
            <v>414</v>
          </cell>
          <cell r="C1170">
            <v>75.400000000000006</v>
          </cell>
          <cell r="D1170">
            <v>205</v>
          </cell>
          <cell r="E1170">
            <v>32</v>
          </cell>
          <cell r="J1170">
            <v>156.03550620729419</v>
          </cell>
          <cell r="K1170">
            <v>500</v>
          </cell>
          <cell r="P1170">
            <v>604</v>
          </cell>
          <cell r="Q1170">
            <v>146</v>
          </cell>
          <cell r="R1170">
            <v>0.26100000000000001</v>
          </cell>
          <cell r="S1170">
            <v>3.7</v>
          </cell>
          <cell r="T1170">
            <v>397</v>
          </cell>
          <cell r="U1170">
            <v>46</v>
          </cell>
        </row>
        <row r="1171">
          <cell r="A1171" t="str">
            <v>KBMS-88S02-A (240 V)</v>
          </cell>
          <cell r="B1171">
            <v>789</v>
          </cell>
          <cell r="C1171">
            <v>40</v>
          </cell>
          <cell r="D1171">
            <v>385</v>
          </cell>
          <cell r="E1171">
            <v>15</v>
          </cell>
          <cell r="J1171">
            <v>346.63946605414804</v>
          </cell>
          <cell r="K1171">
            <v>100</v>
          </cell>
          <cell r="P1171">
            <v>154</v>
          </cell>
          <cell r="Q1171">
            <v>247</v>
          </cell>
          <cell r="R1171">
            <v>1.66</v>
          </cell>
          <cell r="S1171">
            <v>29</v>
          </cell>
          <cell r="T1171">
            <v>1560</v>
          </cell>
          <cell r="U1171">
            <v>46</v>
          </cell>
        </row>
        <row r="1172">
          <cell r="A1172" t="str">
            <v>KBMS-88S02-B (240 V)</v>
          </cell>
          <cell r="B1172">
            <v>789</v>
          </cell>
          <cell r="C1172">
            <v>75.400000000000006</v>
          </cell>
          <cell r="D1172">
            <v>385</v>
          </cell>
          <cell r="E1172">
            <v>31.7</v>
          </cell>
          <cell r="J1172">
            <v>323.45702476889028</v>
          </cell>
          <cell r="K1172">
            <v>235</v>
          </cell>
          <cell r="P1172">
            <v>327</v>
          </cell>
          <cell r="Q1172">
            <v>247</v>
          </cell>
          <cell r="R1172">
            <v>0.36899999999999999</v>
          </cell>
          <cell r="S1172">
            <v>6.4</v>
          </cell>
          <cell r="T1172">
            <v>733</v>
          </cell>
          <cell r="U1172">
            <v>46</v>
          </cell>
        </row>
        <row r="1173">
          <cell r="A1173" t="str">
            <v>KBMS-88S03-A (240 V)</v>
          </cell>
          <cell r="B1173">
            <v>1200</v>
          </cell>
          <cell r="C1173">
            <v>53.1</v>
          </cell>
          <cell r="D1173">
            <v>538</v>
          </cell>
          <cell r="E1173">
            <v>18.100000000000001</v>
          </cell>
          <cell r="J1173">
            <v>482.76999404541584</v>
          </cell>
          <cell r="K1173">
            <v>90</v>
          </cell>
          <cell r="P1173">
            <v>132</v>
          </cell>
          <cell r="Q1173">
            <v>315</v>
          </cell>
          <cell r="R1173">
            <v>1.41</v>
          </cell>
          <cell r="S1173">
            <v>26</v>
          </cell>
          <cell r="T1173">
            <v>1812</v>
          </cell>
          <cell r="U1173">
            <v>46</v>
          </cell>
        </row>
        <row r="1174">
          <cell r="A1174" t="str">
            <v>KBMS-88S03-B (240 V)</v>
          </cell>
          <cell r="B1174">
            <v>1200</v>
          </cell>
          <cell r="C1174">
            <v>106</v>
          </cell>
          <cell r="D1174">
            <v>545</v>
          </cell>
          <cell r="E1174">
            <v>35.5</v>
          </cell>
          <cell r="J1174">
            <v>463.67140087438844</v>
          </cell>
          <cell r="K1174">
            <v>180</v>
          </cell>
          <cell r="P1174">
            <v>255</v>
          </cell>
          <cell r="Q1174">
            <v>315</v>
          </cell>
          <cell r="R1174">
            <v>0.37</v>
          </cell>
          <cell r="S1174">
            <v>7</v>
          </cell>
          <cell r="T1174">
            <v>940</v>
          </cell>
          <cell r="U1174">
            <v>46</v>
          </cell>
        </row>
        <row r="1175">
          <cell r="A1175" t="str">
            <v>KBMS-163H01-A (400 V)</v>
          </cell>
          <cell r="B1175">
            <v>1966</v>
          </cell>
          <cell r="C1175">
            <v>140</v>
          </cell>
          <cell r="D1175">
            <v>776</v>
          </cell>
          <cell r="E1175">
            <v>43.2</v>
          </cell>
          <cell r="L1175">
            <v>534.60145384567647</v>
          </cell>
          <cell r="M1175">
            <v>300</v>
          </cell>
          <cell r="P1175">
            <v>365</v>
          </cell>
          <cell r="Q1175">
            <v>1230</v>
          </cell>
          <cell r="R1175">
            <v>0.37</v>
          </cell>
          <cell r="S1175">
            <v>4.2</v>
          </cell>
          <cell r="T1175">
            <v>1100</v>
          </cell>
          <cell r="U1175">
            <v>56</v>
          </cell>
        </row>
        <row r="1176">
          <cell r="A1176" t="str">
            <v>KBMS-163H01-A (480 V)</v>
          </cell>
          <cell r="B1176">
            <v>1966</v>
          </cell>
          <cell r="C1176">
            <v>140</v>
          </cell>
          <cell r="D1176">
            <v>776</v>
          </cell>
          <cell r="E1176">
            <v>43.2</v>
          </cell>
          <cell r="N1176">
            <v>440.54088247836631</v>
          </cell>
          <cell r="O1176">
            <v>375</v>
          </cell>
          <cell r="P1176">
            <v>438</v>
          </cell>
          <cell r="Q1176">
            <v>1230</v>
          </cell>
          <cell r="R1176">
            <v>0.37</v>
          </cell>
          <cell r="S1176">
            <v>4.2</v>
          </cell>
          <cell r="T1176">
            <v>1100</v>
          </cell>
          <cell r="U1176">
            <v>56</v>
          </cell>
        </row>
        <row r="1177">
          <cell r="A1177" t="str">
            <v>KBMS-163H02-A (400 V)</v>
          </cell>
          <cell r="B1177">
            <v>2915</v>
          </cell>
          <cell r="C1177">
            <v>140</v>
          </cell>
          <cell r="D1177">
            <v>1090</v>
          </cell>
          <cell r="E1177">
            <v>40.6</v>
          </cell>
          <cell r="L1177">
            <v>843.68035333013711</v>
          </cell>
          <cell r="M1177">
            <v>200</v>
          </cell>
          <cell r="P1177">
            <v>243</v>
          </cell>
          <cell r="Q1177">
            <v>1720</v>
          </cell>
          <cell r="R1177">
            <v>0.50900000000000001</v>
          </cell>
          <cell r="S1177">
            <v>6.3</v>
          </cell>
          <cell r="T1177">
            <v>1645</v>
          </cell>
          <cell r="U1177">
            <v>56</v>
          </cell>
        </row>
        <row r="1178">
          <cell r="A1178" t="str">
            <v>KBMS-163H02-A (480 V)</v>
          </cell>
          <cell r="B1178">
            <v>2915</v>
          </cell>
          <cell r="C1178">
            <v>140</v>
          </cell>
          <cell r="D1178">
            <v>1090</v>
          </cell>
          <cell r="E1178">
            <v>40.6</v>
          </cell>
          <cell r="N1178">
            <v>781.87301838940914</v>
          </cell>
          <cell r="O1178">
            <v>245</v>
          </cell>
          <cell r="P1178">
            <v>291</v>
          </cell>
          <cell r="Q1178">
            <v>1720</v>
          </cell>
          <cell r="R1178">
            <v>0.50900000000000001</v>
          </cell>
          <cell r="S1178">
            <v>6.3</v>
          </cell>
          <cell r="T1178">
            <v>1645</v>
          </cell>
          <cell r="U1178">
            <v>56</v>
          </cell>
        </row>
        <row r="1179">
          <cell r="A1179" t="str">
            <v>KBMS-163H03-A (400 V)</v>
          </cell>
          <cell r="B1179">
            <v>3930</v>
          </cell>
          <cell r="C1179">
            <v>140</v>
          </cell>
          <cell r="D1179">
            <v>1375</v>
          </cell>
          <cell r="E1179">
            <v>38.6</v>
          </cell>
          <cell r="L1179">
            <v>1115.3578411880026</v>
          </cell>
          <cell r="M1179">
            <v>150</v>
          </cell>
          <cell r="P1179">
            <v>183</v>
          </cell>
          <cell r="Q1179">
            <v>1830</v>
          </cell>
          <cell r="R1179">
            <v>0.64</v>
          </cell>
          <cell r="S1179">
            <v>8.4</v>
          </cell>
          <cell r="T1179">
            <v>2190</v>
          </cell>
          <cell r="U1179">
            <v>56</v>
          </cell>
        </row>
        <row r="1180">
          <cell r="A1180" t="str">
            <v>KBMS-163H03-A (480 V)</v>
          </cell>
          <cell r="B1180">
            <v>3930</v>
          </cell>
          <cell r="C1180">
            <v>140</v>
          </cell>
          <cell r="D1180">
            <v>1375</v>
          </cell>
          <cell r="E1180">
            <v>38.6</v>
          </cell>
          <cell r="N1180">
            <v>1063.9507945693204</v>
          </cell>
          <cell r="O1180">
            <v>180</v>
          </cell>
          <cell r="P1180">
            <v>220</v>
          </cell>
          <cell r="Q1180">
            <v>1830</v>
          </cell>
          <cell r="R1180">
            <v>0.64</v>
          </cell>
          <cell r="S1180">
            <v>8.4</v>
          </cell>
          <cell r="T1180">
            <v>2190</v>
          </cell>
          <cell r="U1180">
            <v>56</v>
          </cell>
        </row>
        <row r="1181">
          <cell r="A1181" t="str">
            <v>KBMS-163S01-A (240 V)</v>
          </cell>
          <cell r="B1181">
            <v>1966</v>
          </cell>
          <cell r="C1181">
            <v>140</v>
          </cell>
          <cell r="D1181">
            <v>776</v>
          </cell>
          <cell r="E1181">
            <v>43.2</v>
          </cell>
          <cell r="J1181">
            <v>580.77085597351629</v>
          </cell>
          <cell r="K1181">
            <v>165</v>
          </cell>
          <cell r="P1181">
            <v>219</v>
          </cell>
          <cell r="Q1181">
            <v>1230</v>
          </cell>
          <cell r="R1181">
            <v>0.37</v>
          </cell>
          <cell r="S1181">
            <v>4.2</v>
          </cell>
          <cell r="T1181">
            <v>1100</v>
          </cell>
          <cell r="U1181">
            <v>56</v>
          </cell>
        </row>
        <row r="1182">
          <cell r="A1182" t="str">
            <v>KBMS-163S02-A (240 V)</v>
          </cell>
          <cell r="B1182">
            <v>2915</v>
          </cell>
          <cell r="C1182">
            <v>140</v>
          </cell>
          <cell r="D1182">
            <v>1090</v>
          </cell>
          <cell r="E1182">
            <v>40.6</v>
          </cell>
          <cell r="J1182">
            <v>945.38036196585824</v>
          </cell>
          <cell r="K1182">
            <v>110</v>
          </cell>
          <cell r="P1182">
            <v>146</v>
          </cell>
          <cell r="Q1182">
            <v>1720</v>
          </cell>
          <cell r="R1182">
            <v>0.50900000000000001</v>
          </cell>
          <cell r="S1182">
            <v>6.3</v>
          </cell>
          <cell r="T1182">
            <v>1645</v>
          </cell>
          <cell r="U1182">
            <v>56</v>
          </cell>
        </row>
        <row r="1183">
          <cell r="A1183" t="str">
            <v>KBMS-163S03-A (240 V)</v>
          </cell>
          <cell r="B1183">
            <v>3930</v>
          </cell>
          <cell r="C1183">
            <v>140</v>
          </cell>
          <cell r="D1183">
            <v>1375</v>
          </cell>
          <cell r="E1183">
            <v>38.6</v>
          </cell>
          <cell r="J1183">
            <v>1209.1796801406749</v>
          </cell>
          <cell r="K1183">
            <v>80</v>
          </cell>
          <cell r="P1183">
            <v>110</v>
          </cell>
          <cell r="Q1183">
            <v>1830</v>
          </cell>
          <cell r="R1183">
            <v>0.64</v>
          </cell>
          <cell r="S1183">
            <v>8.4</v>
          </cell>
          <cell r="T1183">
            <v>2190</v>
          </cell>
          <cell r="U1183">
            <v>56</v>
          </cell>
        </row>
        <row r="1184">
          <cell r="A1184" t="str">
            <v>KBMS-260H01-A (400 V)</v>
          </cell>
          <cell r="B1184">
            <v>6494</v>
          </cell>
          <cell r="C1184">
            <v>147</v>
          </cell>
          <cell r="D1184">
            <v>1932</v>
          </cell>
          <cell r="E1184">
            <v>33.1</v>
          </cell>
          <cell r="L1184">
            <v>1710.4475354640751</v>
          </cell>
          <cell r="M1184">
            <v>85</v>
          </cell>
          <cell r="P1184">
            <v>111</v>
          </cell>
          <cell r="Q1184">
            <v>5450</v>
          </cell>
          <cell r="R1184">
            <v>1.06</v>
          </cell>
          <cell r="S1184">
            <v>16</v>
          </cell>
          <cell r="T1184">
            <v>3584</v>
          </cell>
          <cell r="U1184">
            <v>58</v>
          </cell>
        </row>
        <row r="1185">
          <cell r="A1185" t="str">
            <v>KBMS-260H01-A (480 V)</v>
          </cell>
          <cell r="B1185">
            <v>6494</v>
          </cell>
          <cell r="C1185">
            <v>147</v>
          </cell>
          <cell r="D1185">
            <v>1932</v>
          </cell>
          <cell r="E1185">
            <v>33.1</v>
          </cell>
          <cell r="N1185">
            <v>1680.6761990504149</v>
          </cell>
          <cell r="O1185">
            <v>105</v>
          </cell>
          <cell r="P1185">
            <v>134</v>
          </cell>
          <cell r="Q1185">
            <v>5450</v>
          </cell>
          <cell r="R1185">
            <v>1.06</v>
          </cell>
          <cell r="S1185">
            <v>16</v>
          </cell>
          <cell r="T1185">
            <v>3584</v>
          </cell>
          <cell r="U1185">
            <v>58</v>
          </cell>
        </row>
        <row r="1186">
          <cell r="A1186" t="str">
            <v>KBMS-260H02-A (400 V)</v>
          </cell>
          <cell r="B1186">
            <v>9741</v>
          </cell>
          <cell r="C1186">
            <v>147</v>
          </cell>
          <cell r="D1186">
            <v>2706</v>
          </cell>
          <cell r="E1186">
            <v>31</v>
          </cell>
          <cell r="L1186">
            <v>2428.9938042061262</v>
          </cell>
          <cell r="M1186">
            <v>55</v>
          </cell>
          <cell r="P1186">
            <v>74</v>
          </cell>
          <cell r="Q1186">
            <v>7860</v>
          </cell>
          <cell r="R1186">
            <v>1.48</v>
          </cell>
          <cell r="S1186">
            <v>24</v>
          </cell>
          <cell r="T1186">
            <v>5380</v>
          </cell>
          <cell r="U1186">
            <v>58</v>
          </cell>
        </row>
        <row r="1187">
          <cell r="A1187" t="str">
            <v>KBMS-260H02-A (480 V)</v>
          </cell>
          <cell r="B1187">
            <v>9741</v>
          </cell>
          <cell r="C1187">
            <v>147</v>
          </cell>
          <cell r="D1187">
            <v>2706</v>
          </cell>
          <cell r="E1187">
            <v>31</v>
          </cell>
          <cell r="N1187">
            <v>2406.2823087173174</v>
          </cell>
          <cell r="O1187">
            <v>68</v>
          </cell>
          <cell r="P1187">
            <v>89</v>
          </cell>
          <cell r="Q1187">
            <v>7860</v>
          </cell>
          <cell r="R1187">
            <v>1.48</v>
          </cell>
          <cell r="S1187">
            <v>24</v>
          </cell>
          <cell r="T1187">
            <v>5380</v>
          </cell>
          <cell r="U1187">
            <v>58</v>
          </cell>
        </row>
        <row r="1188">
          <cell r="A1188" t="str">
            <v>KBMS-260H03-A (400 V)</v>
          </cell>
          <cell r="B1188">
            <v>12812</v>
          </cell>
          <cell r="C1188">
            <v>147</v>
          </cell>
          <cell r="D1188">
            <v>3444</v>
          </cell>
          <cell r="E1188">
            <v>29.5</v>
          </cell>
          <cell r="L1188">
            <v>3366.1270463935866</v>
          </cell>
          <cell r="M1188">
            <v>40</v>
          </cell>
          <cell r="P1188">
            <v>55</v>
          </cell>
          <cell r="Q1188">
            <v>10200</v>
          </cell>
          <cell r="R1188">
            <v>1.9</v>
          </cell>
          <cell r="S1188">
            <v>32</v>
          </cell>
          <cell r="T1188">
            <v>7180</v>
          </cell>
          <cell r="U1188">
            <v>58</v>
          </cell>
        </row>
        <row r="1189">
          <cell r="A1189" t="str">
            <v>KBMS-260H03-A (480 V)</v>
          </cell>
          <cell r="B1189">
            <v>12812</v>
          </cell>
          <cell r="C1189">
            <v>147</v>
          </cell>
          <cell r="D1189">
            <v>3444</v>
          </cell>
          <cell r="E1189">
            <v>29.5</v>
          </cell>
          <cell r="N1189">
            <v>3288.7777440509253</v>
          </cell>
          <cell r="O1189">
            <v>50</v>
          </cell>
          <cell r="P1189">
            <v>67</v>
          </cell>
          <cell r="Q1189">
            <v>10200</v>
          </cell>
          <cell r="R1189">
            <v>1.9</v>
          </cell>
          <cell r="S1189">
            <v>32</v>
          </cell>
          <cell r="T1189">
            <v>7180</v>
          </cell>
          <cell r="U1189">
            <v>58</v>
          </cell>
        </row>
        <row r="1190">
          <cell r="A1190" t="str">
            <v>KBMS-260S01-A (240 V)</v>
          </cell>
          <cell r="B1190">
            <v>6494</v>
          </cell>
          <cell r="C1190">
            <v>147</v>
          </cell>
          <cell r="D1190">
            <v>1932</v>
          </cell>
          <cell r="E1190">
            <v>33.1</v>
          </cell>
          <cell r="J1190">
            <v>1761.3147035503084</v>
          </cell>
          <cell r="K1190">
            <v>45</v>
          </cell>
          <cell r="P1190">
            <v>67</v>
          </cell>
          <cell r="Q1190">
            <v>5450</v>
          </cell>
          <cell r="R1190">
            <v>1.06</v>
          </cell>
          <cell r="S1190">
            <v>16</v>
          </cell>
          <cell r="T1190">
            <v>3584</v>
          </cell>
          <cell r="U1190">
            <v>58</v>
          </cell>
        </row>
        <row r="1191">
          <cell r="A1191" t="str">
            <v>KBMS-260S02-A (240 V)</v>
          </cell>
          <cell r="B1191">
            <v>9741</v>
          </cell>
          <cell r="C1191">
            <v>147</v>
          </cell>
          <cell r="D1191">
            <v>2706</v>
          </cell>
          <cell r="E1191">
            <v>31</v>
          </cell>
          <cell r="J1191">
            <v>2482.8171122335671</v>
          </cell>
          <cell r="K1191">
            <v>28</v>
          </cell>
          <cell r="P1191">
            <v>44</v>
          </cell>
          <cell r="Q1191">
            <v>7860</v>
          </cell>
          <cell r="R1191">
            <v>1.48</v>
          </cell>
          <cell r="S1191">
            <v>24</v>
          </cell>
          <cell r="T1191">
            <v>5380</v>
          </cell>
          <cell r="U1191">
            <v>58</v>
          </cell>
        </row>
        <row r="1192">
          <cell r="A1192" t="str">
            <v>KBMS-260S03-A (240 V)</v>
          </cell>
          <cell r="B1192">
            <v>12812</v>
          </cell>
          <cell r="C1192">
            <v>147</v>
          </cell>
          <cell r="D1192">
            <v>3444</v>
          </cell>
          <cell r="E1192">
            <v>29.5</v>
          </cell>
          <cell r="J1192">
            <v>3317.1240770731874</v>
          </cell>
          <cell r="K1192">
            <v>19</v>
          </cell>
          <cell r="P1192">
            <v>33</v>
          </cell>
          <cell r="Q1192">
            <v>10200</v>
          </cell>
          <cell r="R1192">
            <v>1.9</v>
          </cell>
          <cell r="S1192">
            <v>32</v>
          </cell>
          <cell r="T1192">
            <v>7180</v>
          </cell>
          <cell r="U1192">
            <v>58</v>
          </cell>
        </row>
        <row r="1193">
          <cell r="A1193" t="str">
            <v>AKMH21C</v>
          </cell>
          <cell r="B1193">
            <v>1.57</v>
          </cell>
          <cell r="C1193">
            <v>7.9</v>
          </cell>
          <cell r="D1193">
            <v>0.317</v>
          </cell>
          <cell r="E1193">
            <v>1.33</v>
          </cell>
          <cell r="J1193">
            <v>0.255</v>
          </cell>
          <cell r="K1193">
            <v>8000</v>
          </cell>
          <cell r="L1193">
            <v>0.255</v>
          </cell>
          <cell r="M1193">
            <v>8000</v>
          </cell>
          <cell r="N1193">
            <v>0.255</v>
          </cell>
          <cell r="O1193">
            <v>8000</v>
          </cell>
          <cell r="P1193">
            <v>8000</v>
          </cell>
          <cell r="Q1193">
            <v>0.107</v>
          </cell>
          <cell r="R1193">
            <v>13</v>
          </cell>
          <cell r="S1193">
            <v>19</v>
          </cell>
          <cell r="T1193">
            <v>19.5</v>
          </cell>
          <cell r="U1193">
            <v>6</v>
          </cell>
        </row>
        <row r="1194">
          <cell r="A1194" t="str">
            <v>AKMH22C</v>
          </cell>
          <cell r="B1194">
            <v>3.03</v>
          </cell>
          <cell r="C1194">
            <v>7</v>
          </cell>
          <cell r="D1194">
            <v>0.63300000000000001</v>
          </cell>
          <cell r="E1194">
            <v>1.18</v>
          </cell>
          <cell r="J1194">
            <v>0.58299999999999996</v>
          </cell>
          <cell r="K1194">
            <v>3500</v>
          </cell>
          <cell r="L1194">
            <v>0.4</v>
          </cell>
          <cell r="M1194">
            <v>8000</v>
          </cell>
          <cell r="N1194">
            <v>0.4</v>
          </cell>
          <cell r="O1194">
            <v>8000</v>
          </cell>
          <cell r="P1194">
            <v>8000</v>
          </cell>
          <cell r="Q1194">
            <v>0.161</v>
          </cell>
          <cell r="R1194">
            <v>20</v>
          </cell>
          <cell r="S1194">
            <v>35.5</v>
          </cell>
          <cell r="T1194">
            <v>39</v>
          </cell>
          <cell r="U1194">
            <v>6</v>
          </cell>
        </row>
        <row r="1195">
          <cell r="A1195" t="str">
            <v>AKMH22E</v>
          </cell>
          <cell r="B1195">
            <v>3.07</v>
          </cell>
          <cell r="C1195">
            <v>13.7</v>
          </cell>
          <cell r="D1195">
            <v>0.65400000000000003</v>
          </cell>
          <cell r="E1195">
            <v>2.31</v>
          </cell>
          <cell r="J1195">
            <v>0.41</v>
          </cell>
          <cell r="K1195">
            <v>8000</v>
          </cell>
          <cell r="L1195">
            <v>0.41</v>
          </cell>
          <cell r="M1195">
            <v>8000</v>
          </cell>
          <cell r="N1195">
            <v>0.41</v>
          </cell>
          <cell r="O1195">
            <v>8000</v>
          </cell>
          <cell r="P1195">
            <v>8000</v>
          </cell>
          <cell r="Q1195">
            <v>0.161</v>
          </cell>
          <cell r="R1195">
            <v>5.24</v>
          </cell>
          <cell r="S1195">
            <v>9.6999999999999993</v>
          </cell>
          <cell r="T1195">
            <v>20.399999999999999</v>
          </cell>
          <cell r="U1195">
            <v>6</v>
          </cell>
        </row>
        <row r="1196">
          <cell r="A1196" t="str">
            <v>AKMH23D</v>
          </cell>
          <cell r="B1196">
            <v>4.3499999999999996</v>
          </cell>
          <cell r="C1196">
            <v>11</v>
          </cell>
          <cell r="D1196">
            <v>0.89700000000000002</v>
          </cell>
          <cell r="E1196">
            <v>1.89</v>
          </cell>
          <cell r="J1196">
            <v>0.76500000000000001</v>
          </cell>
          <cell r="K1196">
            <v>5000</v>
          </cell>
          <cell r="L1196">
            <v>0.57999999999999996</v>
          </cell>
          <cell r="M1196">
            <v>8000</v>
          </cell>
          <cell r="N1196">
            <v>0.57999999999999996</v>
          </cell>
          <cell r="O1196">
            <v>8000</v>
          </cell>
          <cell r="P1196">
            <v>8000</v>
          </cell>
          <cell r="Q1196">
            <v>0.216</v>
          </cell>
          <cell r="R1196">
            <v>8.7899999999999991</v>
          </cell>
          <cell r="S1196">
            <v>17.3</v>
          </cell>
          <cell r="T1196">
            <v>33.799999999999997</v>
          </cell>
          <cell r="U1196">
            <v>6</v>
          </cell>
        </row>
        <row r="1197">
          <cell r="A1197" t="str">
            <v>AKMH23E</v>
          </cell>
          <cell r="B1197">
            <v>4.37</v>
          </cell>
          <cell r="C1197">
            <v>13.9</v>
          </cell>
          <cell r="D1197">
            <v>0.90400000000000003</v>
          </cell>
          <cell r="E1197">
            <v>2.36</v>
          </cell>
          <cell r="J1197">
            <v>0.68799999999999994</v>
          </cell>
          <cell r="K1197">
            <v>6500</v>
          </cell>
          <cell r="L1197">
            <v>0.57999999999999996</v>
          </cell>
          <cell r="M1197">
            <v>8000</v>
          </cell>
          <cell r="N1197">
            <v>0.57999999999999996</v>
          </cell>
          <cell r="O1197">
            <v>8000</v>
          </cell>
          <cell r="P1197">
            <v>8000</v>
          </cell>
          <cell r="Q1197">
            <v>0.216</v>
          </cell>
          <cell r="R1197">
            <v>5.46</v>
          </cell>
          <cell r="S1197">
            <v>11.1</v>
          </cell>
          <cell r="T1197">
            <v>27</v>
          </cell>
          <cell r="U1197">
            <v>6</v>
          </cell>
        </row>
        <row r="1198">
          <cell r="A1198" t="str">
            <v>AKMH23F</v>
          </cell>
          <cell r="B1198">
            <v>4.41</v>
          </cell>
          <cell r="C1198">
            <v>21.6</v>
          </cell>
          <cell r="D1198">
            <v>0.91700000000000004</v>
          </cell>
          <cell r="E1198">
            <v>3.71</v>
          </cell>
          <cell r="J1198">
            <v>0.59299999999999997</v>
          </cell>
          <cell r="K1198">
            <v>8000</v>
          </cell>
          <cell r="L1198">
            <v>0.59</v>
          </cell>
          <cell r="M1198">
            <v>8000</v>
          </cell>
          <cell r="N1198">
            <v>0.57999999999999996</v>
          </cell>
          <cell r="O1198">
            <v>8000</v>
          </cell>
          <cell r="P1198">
            <v>8000</v>
          </cell>
          <cell r="Q1198">
            <v>0.216</v>
          </cell>
          <cell r="R1198">
            <v>2.36</v>
          </cell>
          <cell r="S1198">
            <v>4.68</v>
          </cell>
          <cell r="T1198">
            <v>17.600000000000001</v>
          </cell>
          <cell r="U1198">
            <v>6</v>
          </cell>
        </row>
        <row r="1199">
          <cell r="A1199" t="str">
            <v>AKMH24D</v>
          </cell>
          <cell r="B1199">
            <v>5.5</v>
          </cell>
          <cell r="C1199">
            <v>11.1</v>
          </cell>
          <cell r="D1199">
            <v>1.1200000000000001</v>
          </cell>
          <cell r="E1199">
            <v>2.41</v>
          </cell>
          <cell r="J1199">
            <v>1.04</v>
          </cell>
          <cell r="K1199">
            <v>4000</v>
          </cell>
          <cell r="L1199">
            <v>0.83</v>
          </cell>
          <cell r="M1199">
            <v>8000</v>
          </cell>
          <cell r="N1199">
            <v>0.83</v>
          </cell>
          <cell r="O1199">
            <v>8000</v>
          </cell>
          <cell r="P1199">
            <v>8000</v>
          </cell>
          <cell r="Q1199">
            <v>0.27</v>
          </cell>
          <cell r="R1199">
            <v>9.0399999999999991</v>
          </cell>
          <cell r="S1199">
            <v>18.7</v>
          </cell>
          <cell r="T1199">
            <v>40.799999999999997</v>
          </cell>
          <cell r="U1199">
            <v>6</v>
          </cell>
        </row>
        <row r="1200">
          <cell r="A1200" t="str">
            <v>AKMH24E</v>
          </cell>
          <cell r="B1200">
            <v>5.51</v>
          </cell>
          <cell r="C1200">
            <v>14</v>
          </cell>
          <cell r="D1200">
            <v>1.1200000000000001</v>
          </cell>
          <cell r="E1200">
            <v>2.41</v>
          </cell>
          <cell r="J1200">
            <v>0.98099999999999998</v>
          </cell>
          <cell r="K1200">
            <v>5500</v>
          </cell>
          <cell r="L1200">
            <v>0.83</v>
          </cell>
          <cell r="M1200">
            <v>8000</v>
          </cell>
          <cell r="N1200">
            <v>0.83</v>
          </cell>
          <cell r="O1200">
            <v>8000</v>
          </cell>
          <cell r="P1200">
            <v>8000</v>
          </cell>
          <cell r="Q1200">
            <v>0.27</v>
          </cell>
          <cell r="R1200">
            <v>5.46</v>
          </cell>
          <cell r="S1200">
            <v>11.8</v>
          </cell>
          <cell r="T1200">
            <v>32.4</v>
          </cell>
          <cell r="U1200">
            <v>6</v>
          </cell>
        </row>
        <row r="1201">
          <cell r="A1201" t="str">
            <v>AKMH24F</v>
          </cell>
          <cell r="B1201">
            <v>5.53</v>
          </cell>
          <cell r="C1201">
            <v>19.5</v>
          </cell>
          <cell r="D1201">
            <v>1.1299999999999999</v>
          </cell>
          <cell r="E1201">
            <v>3.38</v>
          </cell>
          <cell r="J1201">
            <v>0.83899999999999997</v>
          </cell>
          <cell r="K1201">
            <v>8000</v>
          </cell>
          <cell r="L1201">
            <v>0.84</v>
          </cell>
          <cell r="M1201">
            <v>8000</v>
          </cell>
          <cell r="N1201">
            <v>0.83</v>
          </cell>
          <cell r="O1201">
            <v>8000</v>
          </cell>
          <cell r="P1201">
            <v>8000</v>
          </cell>
          <cell r="Q1201">
            <v>0.27</v>
          </cell>
          <cell r="R1201">
            <v>2.96</v>
          </cell>
          <cell r="S1201">
            <v>6.16</v>
          </cell>
          <cell r="T1201">
            <v>23.4</v>
          </cell>
          <cell r="U1201">
            <v>6</v>
          </cell>
        </row>
        <row r="1202">
          <cell r="A1202" t="str">
            <v>AKMH31C</v>
          </cell>
          <cell r="B1202">
            <v>4.41</v>
          </cell>
          <cell r="C1202">
            <v>6.9</v>
          </cell>
          <cell r="D1202">
            <v>1</v>
          </cell>
          <cell r="E1202">
            <v>1.29</v>
          </cell>
          <cell r="J1202">
            <v>0.95</v>
          </cell>
          <cell r="K1202">
            <v>2500</v>
          </cell>
          <cell r="L1202">
            <v>0.82</v>
          </cell>
          <cell r="M1202">
            <v>6000</v>
          </cell>
          <cell r="N1202">
            <v>0.82</v>
          </cell>
          <cell r="O1202">
            <v>6000</v>
          </cell>
          <cell r="P1202">
            <v>8000</v>
          </cell>
          <cell r="Q1202">
            <v>0.33</v>
          </cell>
          <cell r="R1202">
            <v>21.4</v>
          </cell>
          <cell r="S1202">
            <v>37.5</v>
          </cell>
          <cell r="T1202">
            <v>54.5</v>
          </cell>
          <cell r="U1202">
            <v>8</v>
          </cell>
        </row>
        <row r="1203">
          <cell r="A1203" t="str">
            <v>AKMH31E</v>
          </cell>
          <cell r="B1203">
            <v>4.5199999999999996</v>
          </cell>
          <cell r="C1203">
            <v>15</v>
          </cell>
          <cell r="D1203">
            <v>1.04</v>
          </cell>
          <cell r="E1203">
            <v>2.76</v>
          </cell>
          <cell r="J1203">
            <v>0.86</v>
          </cell>
          <cell r="K1203">
            <v>6000</v>
          </cell>
          <cell r="L1203">
            <v>0.74</v>
          </cell>
          <cell r="M1203">
            <v>8000</v>
          </cell>
          <cell r="N1203">
            <v>0.74</v>
          </cell>
          <cell r="O1203">
            <v>8000</v>
          </cell>
          <cell r="P1203">
            <v>8000</v>
          </cell>
          <cell r="Q1203">
            <v>0.33</v>
          </cell>
          <cell r="R1203">
            <v>4.76</v>
          </cell>
          <cell r="S1203">
            <v>8.6</v>
          </cell>
          <cell r="T1203">
            <v>26.1</v>
          </cell>
          <cell r="U1203">
            <v>8</v>
          </cell>
        </row>
        <row r="1204">
          <cell r="A1204" t="str">
            <v>AKMH31H</v>
          </cell>
          <cell r="B1204">
            <v>4.59</v>
          </cell>
          <cell r="C1204">
            <v>29.3</v>
          </cell>
          <cell r="D1204">
            <v>1.08</v>
          </cell>
          <cell r="E1204">
            <v>5.59</v>
          </cell>
          <cell r="J1204">
            <v>0.76</v>
          </cell>
          <cell r="K1204">
            <v>8000</v>
          </cell>
          <cell r="L1204">
            <v>0.76</v>
          </cell>
          <cell r="M1204">
            <v>8000</v>
          </cell>
          <cell r="N1204">
            <v>0.76</v>
          </cell>
          <cell r="O1204">
            <v>8000</v>
          </cell>
          <cell r="P1204">
            <v>8000</v>
          </cell>
          <cell r="Q1204">
            <v>0.33</v>
          </cell>
          <cell r="R1204">
            <v>1.31</v>
          </cell>
          <cell r="S1204">
            <v>2.4</v>
          </cell>
          <cell r="T1204">
            <v>13.7</v>
          </cell>
          <cell r="U1204">
            <v>8</v>
          </cell>
        </row>
        <row r="1205">
          <cell r="A1205" t="str">
            <v>AKMH32C</v>
          </cell>
          <cell r="B1205">
            <v>8.1</v>
          </cell>
          <cell r="C1205">
            <v>7.2</v>
          </cell>
          <cell r="D1205">
            <v>1.72</v>
          </cell>
          <cell r="E1205">
            <v>1.3</v>
          </cell>
          <cell r="J1205">
            <v>1.66</v>
          </cell>
          <cell r="K1205">
            <v>1500</v>
          </cell>
          <cell r="L1205">
            <v>1.57</v>
          </cell>
          <cell r="M1205">
            <v>3000</v>
          </cell>
          <cell r="N1205">
            <v>1.52</v>
          </cell>
          <cell r="O1205">
            <v>3500</v>
          </cell>
          <cell r="P1205">
            <v>8000</v>
          </cell>
          <cell r="Q1205">
            <v>0.59</v>
          </cell>
          <cell r="R1205">
            <v>23.8</v>
          </cell>
          <cell r="S1205">
            <v>46.5</v>
          </cell>
          <cell r="T1205">
            <v>89.8</v>
          </cell>
          <cell r="U1205">
            <v>8</v>
          </cell>
        </row>
        <row r="1206">
          <cell r="A1206" t="str">
            <v>AKMH32E</v>
          </cell>
          <cell r="B1206">
            <v>8.24</v>
          </cell>
          <cell r="C1206">
            <v>14.1</v>
          </cell>
          <cell r="D1206">
            <v>1.77</v>
          </cell>
          <cell r="E1206">
            <v>2.56</v>
          </cell>
          <cell r="J1206">
            <v>1.57</v>
          </cell>
          <cell r="K1206">
            <v>3500</v>
          </cell>
          <cell r="L1206">
            <v>1.1000000000000001</v>
          </cell>
          <cell r="M1206">
            <v>7000</v>
          </cell>
          <cell r="N1206">
            <v>0.92</v>
          </cell>
          <cell r="O1206">
            <v>8000</v>
          </cell>
          <cell r="P1206">
            <v>8000</v>
          </cell>
          <cell r="Q1206">
            <v>0.59</v>
          </cell>
          <cell r="R1206">
            <v>6.32</v>
          </cell>
          <cell r="S1206">
            <v>12.8</v>
          </cell>
          <cell r="T1206">
            <v>47.1</v>
          </cell>
          <cell r="U1206">
            <v>8</v>
          </cell>
        </row>
        <row r="1207">
          <cell r="A1207" t="str">
            <v>AKMH32H</v>
          </cell>
          <cell r="B1207">
            <v>8.39</v>
          </cell>
          <cell r="C1207">
            <v>27.5</v>
          </cell>
          <cell r="D1207">
            <v>1.82</v>
          </cell>
          <cell r="E1207">
            <v>4.92</v>
          </cell>
          <cell r="J1207">
            <v>1.1299999999999999</v>
          </cell>
          <cell r="K1207">
            <v>7000</v>
          </cell>
          <cell r="L1207">
            <v>0.95</v>
          </cell>
          <cell r="M1207">
            <v>8000</v>
          </cell>
          <cell r="N1207">
            <v>0.95</v>
          </cell>
          <cell r="O1207">
            <v>8000</v>
          </cell>
          <cell r="P1207">
            <v>8000</v>
          </cell>
          <cell r="Q1207">
            <v>0.59</v>
          </cell>
          <cell r="R1207">
            <v>1.71</v>
          </cell>
          <cell r="S1207">
            <v>3.53</v>
          </cell>
          <cell r="T1207">
            <v>24.8</v>
          </cell>
          <cell r="U1207">
            <v>8</v>
          </cell>
        </row>
        <row r="1208">
          <cell r="A1208" t="str">
            <v>AKMH33C</v>
          </cell>
          <cell r="B1208">
            <v>11.5</v>
          </cell>
          <cell r="C1208">
            <v>7.4</v>
          </cell>
          <cell r="D1208">
            <v>2.25</v>
          </cell>
          <cell r="E1208">
            <v>1.27</v>
          </cell>
          <cell r="J1208">
            <v>2.2200000000000002</v>
          </cell>
          <cell r="K1208">
            <v>1000</v>
          </cell>
          <cell r="L1208">
            <v>2.14</v>
          </cell>
          <cell r="M1208">
            <v>2000</v>
          </cell>
          <cell r="N1208">
            <v>2.09</v>
          </cell>
          <cell r="O1208">
            <v>2500</v>
          </cell>
          <cell r="P1208">
            <v>8000</v>
          </cell>
          <cell r="Q1208">
            <v>0.85</v>
          </cell>
          <cell r="R1208">
            <v>26.6</v>
          </cell>
          <cell r="S1208">
            <v>53.6</v>
          </cell>
          <cell r="T1208">
            <v>120</v>
          </cell>
          <cell r="U1208">
            <v>8</v>
          </cell>
        </row>
        <row r="1209">
          <cell r="A1209" t="str">
            <v>AKMH33E</v>
          </cell>
          <cell r="B1209">
            <v>11.7</v>
          </cell>
          <cell r="C1209">
            <v>12.9</v>
          </cell>
          <cell r="D1209">
            <v>2.3199999999999998</v>
          </cell>
          <cell r="E1209">
            <v>2.2000000000000002</v>
          </cell>
          <cell r="J1209">
            <v>2.2000000000000002</v>
          </cell>
          <cell r="K1209">
            <v>2000</v>
          </cell>
          <cell r="L1209">
            <v>1.82</v>
          </cell>
          <cell r="M1209">
            <v>4500</v>
          </cell>
          <cell r="N1209">
            <v>1.72</v>
          </cell>
          <cell r="O1209">
            <v>5000</v>
          </cell>
          <cell r="P1209">
            <v>8000</v>
          </cell>
          <cell r="Q1209">
            <v>0.85</v>
          </cell>
          <cell r="R1209">
            <v>9.0299999999999994</v>
          </cell>
          <cell r="S1209">
            <v>18.5</v>
          </cell>
          <cell r="T1209">
            <v>70.599999999999994</v>
          </cell>
          <cell r="U1209">
            <v>8</v>
          </cell>
        </row>
        <row r="1210">
          <cell r="A1210" t="str">
            <v>AKMH33H</v>
          </cell>
          <cell r="B1210">
            <v>11.9</v>
          </cell>
          <cell r="C1210">
            <v>28.1</v>
          </cell>
          <cell r="D1210">
            <v>2.38</v>
          </cell>
          <cell r="E1210">
            <v>4.78</v>
          </cell>
          <cell r="J1210">
            <v>1.64</v>
          </cell>
          <cell r="K1210">
            <v>5500</v>
          </cell>
          <cell r="L1210">
            <v>0.88</v>
          </cell>
          <cell r="M1210">
            <v>8000</v>
          </cell>
          <cell r="N1210">
            <v>0.88</v>
          </cell>
          <cell r="O1210">
            <v>8000</v>
          </cell>
          <cell r="P1210">
            <v>8000</v>
          </cell>
          <cell r="Q1210">
            <v>0.85</v>
          </cell>
          <cell r="R1210">
            <v>1.98</v>
          </cell>
          <cell r="S1210">
            <v>4.0999999999999996</v>
          </cell>
          <cell r="T1210">
            <v>33.4</v>
          </cell>
          <cell r="U1210">
            <v>8</v>
          </cell>
        </row>
        <row r="1211">
          <cell r="A1211" t="str">
            <v>AKMH41C</v>
          </cell>
          <cell r="B1211">
            <v>6.82</v>
          </cell>
          <cell r="C1211">
            <v>7.3</v>
          </cell>
          <cell r="D1211">
            <v>1.85</v>
          </cell>
          <cell r="E1211">
            <v>1.39</v>
          </cell>
          <cell r="J1211">
            <v>1.78</v>
          </cell>
          <cell r="K1211">
            <v>1200</v>
          </cell>
          <cell r="L1211">
            <v>1.68</v>
          </cell>
          <cell r="M1211">
            <v>3000</v>
          </cell>
          <cell r="N1211">
            <v>1.65</v>
          </cell>
          <cell r="O1211">
            <v>3500</v>
          </cell>
          <cell r="P1211">
            <v>6000</v>
          </cell>
          <cell r="Q1211">
            <v>0.81</v>
          </cell>
          <cell r="R1211">
            <v>21.3</v>
          </cell>
          <cell r="S1211">
            <v>66.099999999999994</v>
          </cell>
          <cell r="T1211">
            <v>86.3</v>
          </cell>
          <cell r="U1211">
            <v>10</v>
          </cell>
        </row>
        <row r="1212">
          <cell r="A1212" t="str">
            <v>AKMH41E</v>
          </cell>
          <cell r="B1212">
            <v>6.95</v>
          </cell>
          <cell r="C1212">
            <v>14.3</v>
          </cell>
          <cell r="D1212">
            <v>1.92</v>
          </cell>
          <cell r="E1212">
            <v>2.71</v>
          </cell>
          <cell r="J1212">
            <v>1.74</v>
          </cell>
          <cell r="K1212">
            <v>3000</v>
          </cell>
          <cell r="L1212">
            <v>1.44</v>
          </cell>
          <cell r="M1212">
            <v>6000</v>
          </cell>
          <cell r="N1212">
            <v>1.44</v>
          </cell>
          <cell r="O1212">
            <v>6000</v>
          </cell>
          <cell r="P1212">
            <v>6000</v>
          </cell>
          <cell r="Q1212">
            <v>0.81</v>
          </cell>
          <cell r="R1212">
            <v>6.04</v>
          </cell>
          <cell r="S1212">
            <v>18.399999999999999</v>
          </cell>
          <cell r="T1212">
            <v>45.6</v>
          </cell>
          <cell r="U1212">
            <v>10</v>
          </cell>
        </row>
        <row r="1213">
          <cell r="A1213" t="str">
            <v>AKMH41H</v>
          </cell>
          <cell r="B1213">
            <v>7</v>
          </cell>
          <cell r="C1213">
            <v>28</v>
          </cell>
          <cell r="D1213">
            <v>1.96</v>
          </cell>
          <cell r="E1213">
            <v>5.32</v>
          </cell>
          <cell r="J1213">
            <v>1.47</v>
          </cell>
          <cell r="K1213">
            <v>6000</v>
          </cell>
          <cell r="L1213">
            <v>1.47</v>
          </cell>
          <cell r="M1213">
            <v>6000</v>
          </cell>
          <cell r="N1213">
            <v>1.47</v>
          </cell>
          <cell r="O1213">
            <v>6000</v>
          </cell>
          <cell r="P1213">
            <v>6000</v>
          </cell>
          <cell r="Q1213">
            <v>0.81</v>
          </cell>
          <cell r="R1213">
            <v>1.58</v>
          </cell>
          <cell r="S1213">
            <v>5</v>
          </cell>
          <cell r="T1213">
            <v>23.7</v>
          </cell>
          <cell r="U1213">
            <v>10</v>
          </cell>
        </row>
        <row r="1214">
          <cell r="A1214" t="str">
            <v>AKMH42C</v>
          </cell>
          <cell r="B1214">
            <v>12.6</v>
          </cell>
          <cell r="C1214">
            <v>7</v>
          </cell>
          <cell r="D1214">
            <v>3.22</v>
          </cell>
          <cell r="E1214">
            <v>1.35</v>
          </cell>
          <cell r="L1214">
            <v>2.98</v>
          </cell>
          <cell r="M1214">
            <v>1500</v>
          </cell>
          <cell r="N1214">
            <v>2.91</v>
          </cell>
          <cell r="O1214">
            <v>2000</v>
          </cell>
          <cell r="P1214">
            <v>6000</v>
          </cell>
          <cell r="Q1214">
            <v>1.45</v>
          </cell>
          <cell r="R1214">
            <v>27.5</v>
          </cell>
          <cell r="S1214">
            <v>97.4</v>
          </cell>
          <cell r="T1214">
            <v>154</v>
          </cell>
          <cell r="U1214">
            <v>10</v>
          </cell>
        </row>
        <row r="1215">
          <cell r="A1215" t="str">
            <v>AKMH42E</v>
          </cell>
          <cell r="B1215">
            <v>12.8</v>
          </cell>
          <cell r="C1215">
            <v>13.7</v>
          </cell>
          <cell r="D1215">
            <v>3.28</v>
          </cell>
          <cell r="E1215">
            <v>2.63</v>
          </cell>
          <cell r="J1215">
            <v>2.99</v>
          </cell>
          <cell r="K1215">
            <v>1800</v>
          </cell>
          <cell r="L1215">
            <v>2.72</v>
          </cell>
          <cell r="M1215">
            <v>3500</v>
          </cell>
          <cell r="N1215">
            <v>2.61</v>
          </cell>
          <cell r="O1215">
            <v>4000</v>
          </cell>
          <cell r="P1215">
            <v>6000</v>
          </cell>
          <cell r="Q1215">
            <v>1.45</v>
          </cell>
          <cell r="R1215">
            <v>7.8</v>
          </cell>
          <cell r="S1215">
            <v>26.8</v>
          </cell>
          <cell r="T1215">
            <v>80.900000000000006</v>
          </cell>
          <cell r="U1215">
            <v>10</v>
          </cell>
        </row>
        <row r="1216">
          <cell r="A1216" t="str">
            <v>AKMH42H</v>
          </cell>
          <cell r="B1216">
            <v>13.1</v>
          </cell>
          <cell r="C1216">
            <v>30</v>
          </cell>
          <cell r="D1216">
            <v>3.4</v>
          </cell>
          <cell r="E1216">
            <v>5.76</v>
          </cell>
          <cell r="J1216">
            <v>2.63</v>
          </cell>
          <cell r="K1216">
            <v>4500</v>
          </cell>
          <cell r="L1216">
            <v>2.21</v>
          </cell>
          <cell r="M1216">
            <v>6000</v>
          </cell>
          <cell r="N1216">
            <v>2.21</v>
          </cell>
          <cell r="O1216">
            <v>6000</v>
          </cell>
          <cell r="P1216">
            <v>6000</v>
          </cell>
          <cell r="Q1216">
            <v>1.45</v>
          </cell>
          <cell r="R1216">
            <v>1.67</v>
          </cell>
          <cell r="S1216">
            <v>6</v>
          </cell>
          <cell r="T1216">
            <v>38.299999999999997</v>
          </cell>
          <cell r="U1216">
            <v>10</v>
          </cell>
        </row>
        <row r="1217">
          <cell r="A1217" t="str">
            <v>AKMH42J</v>
          </cell>
          <cell r="B1217">
            <v>13.1</v>
          </cell>
          <cell r="C1217">
            <v>42</v>
          </cell>
          <cell r="D1217">
            <v>3.42</v>
          </cell>
          <cell r="E1217">
            <v>8.06</v>
          </cell>
          <cell r="J1217">
            <v>2.23</v>
          </cell>
          <cell r="K1217">
            <v>6000</v>
          </cell>
          <cell r="L1217">
            <v>2.23</v>
          </cell>
          <cell r="M1217">
            <v>6000</v>
          </cell>
          <cell r="N1217">
            <v>2.23</v>
          </cell>
          <cell r="O1217">
            <v>6000</v>
          </cell>
          <cell r="P1217">
            <v>6000</v>
          </cell>
          <cell r="Q1217">
            <v>1.45</v>
          </cell>
          <cell r="R1217">
            <v>0.82</v>
          </cell>
          <cell r="S1217">
            <v>3.1</v>
          </cell>
          <cell r="T1217">
            <v>27.5</v>
          </cell>
          <cell r="U1217">
            <v>10</v>
          </cell>
        </row>
        <row r="1218">
          <cell r="A1218" t="str">
            <v>AKMH43E</v>
          </cell>
          <cell r="B1218">
            <v>18.3</v>
          </cell>
          <cell r="C1218">
            <v>13.7</v>
          </cell>
          <cell r="D1218">
            <v>4.5599999999999996</v>
          </cell>
          <cell r="E1218">
            <v>2.68</v>
          </cell>
          <cell r="J1218">
            <v>4.1500000000000004</v>
          </cell>
          <cell r="K1218">
            <v>1500</v>
          </cell>
          <cell r="L1218">
            <v>3.83</v>
          </cell>
          <cell r="M1218">
            <v>2500</v>
          </cell>
          <cell r="N1218">
            <v>3.68</v>
          </cell>
          <cell r="O1218">
            <v>3000</v>
          </cell>
          <cell r="P1218">
            <v>6000</v>
          </cell>
          <cell r="Q1218">
            <v>2.09</v>
          </cell>
          <cell r="R1218">
            <v>8.6300000000000008</v>
          </cell>
          <cell r="S1218">
            <v>32.6</v>
          </cell>
          <cell r="T1218">
            <v>111</v>
          </cell>
          <cell r="U1218">
            <v>10</v>
          </cell>
        </row>
        <row r="1219">
          <cell r="A1219" t="str">
            <v>AKMH43H</v>
          </cell>
          <cell r="B1219">
            <v>18.7</v>
          </cell>
          <cell r="C1219">
            <v>27.2</v>
          </cell>
          <cell r="D1219">
            <v>4.68</v>
          </cell>
          <cell r="E1219">
            <v>5.24</v>
          </cell>
          <cell r="J1219">
            <v>3.77</v>
          </cell>
          <cell r="K1219">
            <v>3000</v>
          </cell>
          <cell r="L1219">
            <v>2.44</v>
          </cell>
          <cell r="M1219">
            <v>6000</v>
          </cell>
          <cell r="N1219">
            <v>2.44</v>
          </cell>
          <cell r="O1219">
            <v>6000</v>
          </cell>
          <cell r="P1219">
            <v>6000</v>
          </cell>
          <cell r="Q1219">
            <v>2.09</v>
          </cell>
          <cell r="R1219">
            <v>2.12</v>
          </cell>
          <cell r="S1219">
            <v>8.8000000000000007</v>
          </cell>
          <cell r="T1219">
            <v>57.4</v>
          </cell>
          <cell r="U1219">
            <v>10</v>
          </cell>
        </row>
        <row r="1220">
          <cell r="A1220" t="str">
            <v>AKMH43L</v>
          </cell>
          <cell r="B1220">
            <v>18.399999999999999</v>
          </cell>
          <cell r="C1220">
            <v>55.8</v>
          </cell>
          <cell r="D1220">
            <v>4.59</v>
          </cell>
          <cell r="E1220">
            <v>10.9</v>
          </cell>
          <cell r="J1220">
            <v>2.39</v>
          </cell>
          <cell r="K1220">
            <v>6000</v>
          </cell>
          <cell r="L1220">
            <v>2.39</v>
          </cell>
          <cell r="M1220">
            <v>6000</v>
          </cell>
          <cell r="N1220">
            <v>2.39</v>
          </cell>
          <cell r="O1220">
            <v>6000</v>
          </cell>
          <cell r="P1220">
            <v>6000</v>
          </cell>
          <cell r="Q1220">
            <v>2.09</v>
          </cell>
          <cell r="R1220">
            <v>0.56999999999999995</v>
          </cell>
          <cell r="S1220">
            <v>2</v>
          </cell>
          <cell r="T1220">
            <v>27.5</v>
          </cell>
          <cell r="U1220">
            <v>10</v>
          </cell>
        </row>
        <row r="1221">
          <cell r="A1221" t="str">
            <v>AKMH44E</v>
          </cell>
          <cell r="B1221">
            <v>23.5</v>
          </cell>
          <cell r="C1221">
            <v>14.5</v>
          </cell>
          <cell r="D1221">
            <v>5.64</v>
          </cell>
          <cell r="E1221">
            <v>2.79</v>
          </cell>
          <cell r="J1221">
            <v>5.13</v>
          </cell>
          <cell r="K1221">
            <v>1200</v>
          </cell>
          <cell r="L1221">
            <v>4.76</v>
          </cell>
          <cell r="M1221">
            <v>2000</v>
          </cell>
          <cell r="N1221">
            <v>4.5199999999999996</v>
          </cell>
          <cell r="O1221">
            <v>2500</v>
          </cell>
          <cell r="P1221">
            <v>6000</v>
          </cell>
          <cell r="Q1221">
            <v>2.73</v>
          </cell>
          <cell r="R1221">
            <v>8.66</v>
          </cell>
          <cell r="S1221">
            <v>33.9</v>
          </cell>
          <cell r="T1221">
            <v>132</v>
          </cell>
          <cell r="U1221">
            <v>10</v>
          </cell>
        </row>
        <row r="1222">
          <cell r="A1222" t="str">
            <v>AKMH44H</v>
          </cell>
          <cell r="B1222">
            <v>23.5</v>
          </cell>
          <cell r="C1222">
            <v>28.1</v>
          </cell>
          <cell r="D1222">
            <v>5.77</v>
          </cell>
          <cell r="E1222">
            <v>5.49</v>
          </cell>
          <cell r="J1222">
            <v>4.59</v>
          </cell>
          <cell r="K1222">
            <v>2500</v>
          </cell>
          <cell r="L1222">
            <v>3.31</v>
          </cell>
          <cell r="M1222">
            <v>5000</v>
          </cell>
          <cell r="N1222">
            <v>2.58</v>
          </cell>
          <cell r="O1222">
            <v>6000</v>
          </cell>
          <cell r="P1222">
            <v>6000</v>
          </cell>
          <cell r="Q1222">
            <v>2.73</v>
          </cell>
          <cell r="R1222">
            <v>2.25</v>
          </cell>
          <cell r="S1222">
            <v>9.1</v>
          </cell>
          <cell r="T1222">
            <v>68</v>
          </cell>
          <cell r="U1222">
            <v>10</v>
          </cell>
        </row>
        <row r="1223">
          <cell r="A1223" t="str">
            <v>AKMH44K</v>
          </cell>
          <cell r="B1223">
            <v>23.5</v>
          </cell>
          <cell r="C1223">
            <v>50.5</v>
          </cell>
          <cell r="D1223">
            <v>5.76</v>
          </cell>
          <cell r="E1223">
            <v>9.9</v>
          </cell>
          <cell r="J1223">
            <v>3.1</v>
          </cell>
          <cell r="K1223">
            <v>5000</v>
          </cell>
          <cell r="L1223">
            <v>2.5499999999999998</v>
          </cell>
          <cell r="M1223">
            <v>6000</v>
          </cell>
          <cell r="N1223">
            <v>2.5499999999999998</v>
          </cell>
          <cell r="O1223">
            <v>6000</v>
          </cell>
          <cell r="P1223">
            <v>6000</v>
          </cell>
          <cell r="Q1223">
            <v>2.73</v>
          </cell>
          <cell r="R1223">
            <v>0.7</v>
          </cell>
          <cell r="S1223">
            <v>2.8</v>
          </cell>
          <cell r="T1223">
            <v>37.799999999999997</v>
          </cell>
          <cell r="U1223">
            <v>10</v>
          </cell>
        </row>
        <row r="1224">
          <cell r="A1224" t="str">
            <v>AKMH51E</v>
          </cell>
          <cell r="B1224">
            <v>15</v>
          </cell>
          <cell r="C1224">
            <v>13.8</v>
          </cell>
          <cell r="D1224">
            <v>3.47</v>
          </cell>
          <cell r="E1224">
            <v>2.38</v>
          </cell>
          <cell r="J1224">
            <v>3.28</v>
          </cell>
          <cell r="K1224">
            <v>1200</v>
          </cell>
          <cell r="L1224">
            <v>2.98</v>
          </cell>
          <cell r="M1224">
            <v>2500</v>
          </cell>
          <cell r="N1224">
            <v>2.82</v>
          </cell>
          <cell r="O1224">
            <v>3000</v>
          </cell>
          <cell r="P1224">
            <v>6000</v>
          </cell>
          <cell r="Q1224">
            <v>3.42</v>
          </cell>
          <cell r="R1224">
            <v>9</v>
          </cell>
          <cell r="S1224">
            <v>36.6</v>
          </cell>
          <cell r="T1224">
            <v>110</v>
          </cell>
          <cell r="U1224">
            <v>10</v>
          </cell>
        </row>
        <row r="1225">
          <cell r="A1225" t="str">
            <v>AKMH51H</v>
          </cell>
          <cell r="B1225">
            <v>15</v>
          </cell>
          <cell r="C1225">
            <v>30</v>
          </cell>
          <cell r="D1225">
            <v>3.39</v>
          </cell>
          <cell r="E1225">
            <v>5.0199999999999996</v>
          </cell>
          <cell r="J1225">
            <v>2.75</v>
          </cell>
          <cell r="K1225">
            <v>3000</v>
          </cell>
          <cell r="L1225">
            <v>1.41</v>
          </cell>
          <cell r="M1225">
            <v>5500</v>
          </cell>
          <cell r="N1225">
            <v>1.41</v>
          </cell>
          <cell r="O1225">
            <v>5500</v>
          </cell>
          <cell r="P1225">
            <v>6000</v>
          </cell>
          <cell r="Q1225">
            <v>3.42</v>
          </cell>
          <cell r="R1225">
            <v>2</v>
          </cell>
          <cell r="S1225">
            <v>7.9</v>
          </cell>
          <cell r="T1225">
            <v>51.3</v>
          </cell>
          <cell r="U1225">
            <v>10</v>
          </cell>
        </row>
        <row r="1226">
          <cell r="A1226" t="str">
            <v>AKMH51L</v>
          </cell>
          <cell r="B1226">
            <v>15.2</v>
          </cell>
          <cell r="C1226">
            <v>59.5</v>
          </cell>
          <cell r="D1226">
            <v>3.47</v>
          </cell>
          <cell r="E1226">
            <v>10</v>
          </cell>
          <cell r="J1226">
            <v>1.45</v>
          </cell>
          <cell r="K1226">
            <v>5500</v>
          </cell>
          <cell r="L1226">
            <v>1.45</v>
          </cell>
          <cell r="M1226">
            <v>5500</v>
          </cell>
          <cell r="N1226">
            <v>1.45</v>
          </cell>
          <cell r="O1226">
            <v>5500</v>
          </cell>
          <cell r="P1226">
            <v>6000</v>
          </cell>
          <cell r="Q1226">
            <v>3.42</v>
          </cell>
          <cell r="R1226">
            <v>0.57999999999999996</v>
          </cell>
          <cell r="S1226">
            <v>2.1</v>
          </cell>
          <cell r="T1226">
            <v>26.6</v>
          </cell>
          <cell r="U1226">
            <v>10</v>
          </cell>
        </row>
        <row r="1227">
          <cell r="A1227" t="str">
            <v>AKMH52E</v>
          </cell>
          <cell r="B1227">
            <v>28.9</v>
          </cell>
          <cell r="C1227">
            <v>15</v>
          </cell>
          <cell r="D1227">
            <v>6.15</v>
          </cell>
          <cell r="E1227">
            <v>2.4300000000000002</v>
          </cell>
          <cell r="L1227">
            <v>5.39</v>
          </cell>
          <cell r="M1227">
            <v>1500</v>
          </cell>
          <cell r="N1227">
            <v>5.08</v>
          </cell>
          <cell r="O1227">
            <v>2000</v>
          </cell>
          <cell r="P1227">
            <v>6000</v>
          </cell>
          <cell r="Q1227">
            <v>6.22</v>
          </cell>
          <cell r="R1227">
            <v>8.98</v>
          </cell>
          <cell r="S1227">
            <v>44.7</v>
          </cell>
          <cell r="T1227">
            <v>179</v>
          </cell>
          <cell r="U1227">
            <v>10</v>
          </cell>
        </row>
        <row r="1228">
          <cell r="A1228" t="str">
            <v>AKMH52H</v>
          </cell>
          <cell r="B1228">
            <v>29.1</v>
          </cell>
          <cell r="C1228">
            <v>29.5</v>
          </cell>
          <cell r="D1228">
            <v>6.29</v>
          </cell>
          <cell r="E1228">
            <v>4.8099999999999996</v>
          </cell>
          <cell r="J1228">
            <v>5.32</v>
          </cell>
          <cell r="K1228">
            <v>1800</v>
          </cell>
          <cell r="L1228">
            <v>3.44</v>
          </cell>
          <cell r="M1228">
            <v>3500</v>
          </cell>
          <cell r="N1228">
            <v>2.44</v>
          </cell>
          <cell r="O1228">
            <v>4000</v>
          </cell>
          <cell r="P1228">
            <v>6000</v>
          </cell>
          <cell r="Q1228">
            <v>6.22</v>
          </cell>
          <cell r="R1228">
            <v>2.37</v>
          </cell>
          <cell r="S1228">
            <v>11.9</v>
          </cell>
          <cell r="T1228">
            <v>92.7</v>
          </cell>
          <cell r="U1228">
            <v>10</v>
          </cell>
        </row>
        <row r="1229">
          <cell r="A1229" t="str">
            <v>AKMH52L</v>
          </cell>
          <cell r="B1229">
            <v>29.5</v>
          </cell>
          <cell r="C1229">
            <v>58</v>
          </cell>
          <cell r="D1229">
            <v>6.45</v>
          </cell>
          <cell r="E1229">
            <v>9.5</v>
          </cell>
          <cell r="J1229">
            <v>3.53</v>
          </cell>
          <cell r="K1229">
            <v>3500</v>
          </cell>
          <cell r="L1229">
            <v>1.19</v>
          </cell>
          <cell r="M1229">
            <v>4500</v>
          </cell>
          <cell r="N1229">
            <v>1.19</v>
          </cell>
          <cell r="O1229">
            <v>4500</v>
          </cell>
          <cell r="P1229">
            <v>6000</v>
          </cell>
          <cell r="Q1229">
            <v>6.22</v>
          </cell>
          <cell r="R1229">
            <v>0.63</v>
          </cell>
          <cell r="S1229">
            <v>3.24</v>
          </cell>
          <cell r="T1229">
            <v>48.3</v>
          </cell>
          <cell r="U1229">
            <v>10</v>
          </cell>
        </row>
        <row r="1230">
          <cell r="A1230" t="str">
            <v>AKMH52M</v>
          </cell>
          <cell r="B1230">
            <v>29.4</v>
          </cell>
          <cell r="C1230">
            <v>65.5</v>
          </cell>
          <cell r="D1230">
            <v>6.39</v>
          </cell>
          <cell r="E1230">
            <v>10.7</v>
          </cell>
          <cell r="J1230">
            <v>1.18</v>
          </cell>
          <cell r="K1230">
            <v>4500</v>
          </cell>
          <cell r="L1230">
            <v>1.18</v>
          </cell>
          <cell r="M1230">
            <v>4500</v>
          </cell>
          <cell r="N1230">
            <v>1.18</v>
          </cell>
          <cell r="O1230">
            <v>4500</v>
          </cell>
          <cell r="P1230">
            <v>6000</v>
          </cell>
          <cell r="Q1230">
            <v>6.22</v>
          </cell>
          <cell r="R1230">
            <v>0.51</v>
          </cell>
          <cell r="S1230">
            <v>2.5</v>
          </cell>
          <cell r="T1230">
            <v>42.4</v>
          </cell>
          <cell r="U1230">
            <v>10</v>
          </cell>
        </row>
        <row r="1231">
          <cell r="A1231" t="str">
            <v>AKMH53H</v>
          </cell>
          <cell r="B1231">
            <v>41.8</v>
          </cell>
          <cell r="C1231">
            <v>33</v>
          </cell>
          <cell r="D1231">
            <v>8.6</v>
          </cell>
          <cell r="E1231">
            <v>5.29</v>
          </cell>
          <cell r="L1231">
            <v>4.0599999999999996</v>
          </cell>
          <cell r="M1231">
            <v>3000</v>
          </cell>
          <cell r="N1231">
            <v>2.12</v>
          </cell>
          <cell r="O1231">
            <v>3500</v>
          </cell>
          <cell r="P1231">
            <v>6000</v>
          </cell>
          <cell r="Q1231">
            <v>9.1199999999999992</v>
          </cell>
          <cell r="R1231">
            <v>2.12</v>
          </cell>
          <cell r="S1231">
            <v>11.4</v>
          </cell>
          <cell r="T1231">
            <v>112</v>
          </cell>
          <cell r="U1231">
            <v>10</v>
          </cell>
        </row>
        <row r="1232">
          <cell r="A1232" t="str">
            <v>AKMH53L</v>
          </cell>
          <cell r="B1232">
            <v>42</v>
          </cell>
          <cell r="C1232">
            <v>59</v>
          </cell>
          <cell r="D1232">
            <v>8.68</v>
          </cell>
          <cell r="E1232">
            <v>9.43</v>
          </cell>
          <cell r="J1232">
            <v>4.09</v>
          </cell>
          <cell r="K1232">
            <v>3000</v>
          </cell>
          <cell r="L1232">
            <v>2.14</v>
          </cell>
          <cell r="M1232">
            <v>3500</v>
          </cell>
          <cell r="N1232">
            <v>2.14</v>
          </cell>
          <cell r="O1232">
            <v>3500</v>
          </cell>
          <cell r="P1232">
            <v>6000</v>
          </cell>
          <cell r="Q1232">
            <v>9.1199999999999992</v>
          </cell>
          <cell r="R1232">
            <v>0.71</v>
          </cell>
          <cell r="S1232">
            <v>3.64</v>
          </cell>
          <cell r="T1232">
            <v>63.9</v>
          </cell>
          <cell r="U1232">
            <v>10</v>
          </cell>
        </row>
        <row r="1233">
          <cell r="A1233" t="str">
            <v>AKMH53P</v>
          </cell>
          <cell r="B1233">
            <v>41.7</v>
          </cell>
          <cell r="C1233">
            <v>95.5</v>
          </cell>
          <cell r="D1233">
            <v>8.49</v>
          </cell>
          <cell r="E1233">
            <v>15.2</v>
          </cell>
          <cell r="J1233">
            <v>2.09</v>
          </cell>
          <cell r="K1233">
            <v>3500</v>
          </cell>
          <cell r="L1233">
            <v>2.09</v>
          </cell>
          <cell r="M1233">
            <v>3500</v>
          </cell>
          <cell r="N1233">
            <v>2.09</v>
          </cell>
          <cell r="O1233">
            <v>3500</v>
          </cell>
          <cell r="P1233">
            <v>6000</v>
          </cell>
          <cell r="Q1233">
            <v>9.1199999999999992</v>
          </cell>
          <cell r="R1233">
            <v>0.3</v>
          </cell>
          <cell r="S1233">
            <v>1.3</v>
          </cell>
          <cell r="T1233">
            <v>38.4</v>
          </cell>
          <cell r="U1233">
            <v>10</v>
          </cell>
        </row>
        <row r="1234">
          <cell r="A1234" t="str">
            <v>AKMH54H</v>
          </cell>
          <cell r="B1234">
            <v>53.3</v>
          </cell>
          <cell r="C1234">
            <v>27.5</v>
          </cell>
          <cell r="D1234">
            <v>10.5</v>
          </cell>
          <cell r="E1234">
            <v>4.12</v>
          </cell>
          <cell r="J1234">
            <v>9.31</v>
          </cell>
          <cell r="K1234">
            <v>1000</v>
          </cell>
          <cell r="L1234">
            <v>7.62</v>
          </cell>
          <cell r="M1234">
            <v>1800</v>
          </cell>
          <cell r="N1234">
            <v>7.09</v>
          </cell>
          <cell r="O1234">
            <v>2000</v>
          </cell>
          <cell r="P1234">
            <v>6000</v>
          </cell>
          <cell r="Q1234">
            <v>11.92</v>
          </cell>
          <cell r="R1234">
            <v>3.22</v>
          </cell>
          <cell r="S1234">
            <v>18.3</v>
          </cell>
          <cell r="T1234">
            <v>166</v>
          </cell>
          <cell r="U1234">
            <v>10</v>
          </cell>
        </row>
        <row r="1235">
          <cell r="A1235" t="str">
            <v>AKMH54L</v>
          </cell>
          <cell r="B1235">
            <v>53.3</v>
          </cell>
          <cell r="C1235">
            <v>62.5</v>
          </cell>
          <cell r="D1235">
            <v>10.4</v>
          </cell>
          <cell r="E1235">
            <v>9.2899999999999991</v>
          </cell>
          <cell r="J1235">
            <v>5.13</v>
          </cell>
          <cell r="K1235">
            <v>2500</v>
          </cell>
          <cell r="L1235">
            <v>2.4700000000000002</v>
          </cell>
          <cell r="M1235">
            <v>3000</v>
          </cell>
          <cell r="N1235">
            <v>2.4700000000000002</v>
          </cell>
          <cell r="O1235">
            <v>3000</v>
          </cell>
          <cell r="P1235">
            <v>6000</v>
          </cell>
          <cell r="Q1235">
            <v>11.92</v>
          </cell>
          <cell r="R1235">
            <v>0.67</v>
          </cell>
          <cell r="S1235">
            <v>3.5</v>
          </cell>
          <cell r="T1235">
            <v>72.900000000000006</v>
          </cell>
          <cell r="U1235">
            <v>10</v>
          </cell>
        </row>
        <row r="1236">
          <cell r="A1236" t="str">
            <v>AKMH54P</v>
          </cell>
          <cell r="B1236">
            <v>55.1</v>
          </cell>
          <cell r="C1236">
            <v>98</v>
          </cell>
          <cell r="D1236">
            <v>10.6</v>
          </cell>
          <cell r="E1236">
            <v>14.5</v>
          </cell>
          <cell r="J1236">
            <v>2.52</v>
          </cell>
          <cell r="K1236">
            <v>3000</v>
          </cell>
          <cell r="L1236">
            <v>2.52</v>
          </cell>
          <cell r="M1236">
            <v>3000</v>
          </cell>
          <cell r="N1236">
            <v>2.52</v>
          </cell>
          <cell r="O1236">
            <v>3000</v>
          </cell>
          <cell r="P1236">
            <v>6000</v>
          </cell>
          <cell r="Q1236">
            <v>11.92</v>
          </cell>
          <cell r="R1236">
            <v>0.32</v>
          </cell>
          <cell r="S1236">
            <v>1.5</v>
          </cell>
          <cell r="T1236">
            <v>47.3</v>
          </cell>
          <cell r="U1236">
            <v>10</v>
          </cell>
        </row>
        <row r="1237">
          <cell r="A1237" t="str">
            <v>AKMH62H</v>
          </cell>
          <cell r="B1237">
            <v>39.799999999999997</v>
          </cell>
          <cell r="C1237">
            <v>27.1</v>
          </cell>
          <cell r="D1237">
            <v>10.6</v>
          </cell>
          <cell r="E1237">
            <v>5.3</v>
          </cell>
          <cell r="J1237">
            <v>10.5</v>
          </cell>
          <cell r="K1237">
            <v>1000</v>
          </cell>
          <cell r="L1237">
            <v>9.93</v>
          </cell>
          <cell r="M1237">
            <v>1800</v>
          </cell>
          <cell r="N1237">
            <v>9.86</v>
          </cell>
          <cell r="O1237">
            <v>2000</v>
          </cell>
          <cell r="P1237">
            <v>6000</v>
          </cell>
          <cell r="Q1237">
            <v>16.899999999999999</v>
          </cell>
          <cell r="R1237">
            <v>3.32</v>
          </cell>
          <cell r="S1237">
            <v>25.4</v>
          </cell>
          <cell r="T1237">
            <v>142.1</v>
          </cell>
          <cell r="U1237">
            <v>10</v>
          </cell>
        </row>
        <row r="1238">
          <cell r="A1238" t="str">
            <v>AKMH62L</v>
          </cell>
          <cell r="B1238">
            <v>40.1</v>
          </cell>
          <cell r="C1238">
            <v>60</v>
          </cell>
          <cell r="D1238">
            <v>10.8</v>
          </cell>
          <cell r="E1238">
            <v>11.9</v>
          </cell>
          <cell r="J1238">
            <v>9.6</v>
          </cell>
          <cell r="K1238">
            <v>2500</v>
          </cell>
          <cell r="L1238">
            <v>4.95</v>
          </cell>
          <cell r="M1238">
            <v>5000</v>
          </cell>
          <cell r="N1238">
            <v>3.31</v>
          </cell>
          <cell r="O1238">
            <v>5500</v>
          </cell>
          <cell r="P1238">
            <v>6000</v>
          </cell>
          <cell r="Q1238">
            <v>16.899999999999999</v>
          </cell>
          <cell r="R1238">
            <v>0.75700000000000001</v>
          </cell>
          <cell r="S1238">
            <v>5.4</v>
          </cell>
          <cell r="T1238">
            <v>65.5</v>
          </cell>
          <cell r="U1238">
            <v>10</v>
          </cell>
        </row>
        <row r="1239">
          <cell r="A1239" t="str">
            <v>AKMH62M</v>
          </cell>
          <cell r="B1239">
            <v>40.200000000000003</v>
          </cell>
          <cell r="C1239">
            <v>67</v>
          </cell>
          <cell r="D1239">
            <v>10.9</v>
          </cell>
          <cell r="E1239">
            <v>13.1</v>
          </cell>
          <cell r="J1239">
            <v>9.1</v>
          </cell>
          <cell r="K1239">
            <v>3000</v>
          </cell>
          <cell r="L1239">
            <v>3.33</v>
          </cell>
          <cell r="M1239">
            <v>5500</v>
          </cell>
          <cell r="N1239">
            <v>3.33</v>
          </cell>
          <cell r="O1239">
            <v>5500</v>
          </cell>
          <cell r="P1239">
            <v>6000</v>
          </cell>
          <cell r="Q1239">
            <v>16.899999999999999</v>
          </cell>
          <cell r="R1239">
            <v>0.58699999999999997</v>
          </cell>
          <cell r="S1239">
            <v>4.4000000000000004</v>
          </cell>
          <cell r="T1239">
            <v>58.8</v>
          </cell>
          <cell r="U1239">
            <v>10</v>
          </cell>
        </row>
        <row r="1240">
          <cell r="A1240" t="str">
            <v>AKMH63H</v>
          </cell>
          <cell r="B1240">
            <v>57.9</v>
          </cell>
          <cell r="C1240">
            <v>28</v>
          </cell>
          <cell r="D1240">
            <v>14.6</v>
          </cell>
          <cell r="E1240">
            <v>5.2</v>
          </cell>
          <cell r="L1240">
            <v>13.6</v>
          </cell>
          <cell r="M1240">
            <v>1500</v>
          </cell>
          <cell r="N1240">
            <v>13.2</v>
          </cell>
          <cell r="O1240">
            <v>1800</v>
          </cell>
          <cell r="P1240">
            <v>6000</v>
          </cell>
          <cell r="Q1240">
            <v>24.2</v>
          </cell>
          <cell r="R1240">
            <v>3.45</v>
          </cell>
          <cell r="S1240">
            <v>28.1</v>
          </cell>
          <cell r="T1240">
            <v>194.5</v>
          </cell>
          <cell r="U1240">
            <v>10</v>
          </cell>
        </row>
        <row r="1241">
          <cell r="A1241" t="str">
            <v>AKMH63L</v>
          </cell>
          <cell r="B1241">
            <v>58.4</v>
          </cell>
          <cell r="C1241">
            <v>55.4</v>
          </cell>
          <cell r="D1241">
            <v>14.8</v>
          </cell>
          <cell r="E1241">
            <v>10.6</v>
          </cell>
          <cell r="J1241">
            <v>13.4</v>
          </cell>
          <cell r="K1241">
            <v>1800</v>
          </cell>
          <cell r="L1241">
            <v>11.1</v>
          </cell>
          <cell r="M1241">
            <v>3000</v>
          </cell>
          <cell r="N1241">
            <v>9.6</v>
          </cell>
          <cell r="O1241">
            <v>3500</v>
          </cell>
          <cell r="P1241">
            <v>6000</v>
          </cell>
          <cell r="Q1241">
            <v>24.2</v>
          </cell>
          <cell r="R1241">
            <v>0.95699999999999996</v>
          </cell>
          <cell r="S1241">
            <v>7.4</v>
          </cell>
          <cell r="T1241">
            <v>98.2</v>
          </cell>
          <cell r="U1241">
            <v>10</v>
          </cell>
        </row>
        <row r="1242">
          <cell r="A1242" t="str">
            <v>AKMH63M</v>
          </cell>
          <cell r="B1242">
            <v>58.8</v>
          </cell>
          <cell r="C1242">
            <v>69</v>
          </cell>
          <cell r="D1242">
            <v>15</v>
          </cell>
          <cell r="E1242">
            <v>13</v>
          </cell>
          <cell r="J1242">
            <v>13.3</v>
          </cell>
          <cell r="K1242">
            <v>2000</v>
          </cell>
          <cell r="L1242">
            <v>7.9</v>
          </cell>
          <cell r="M1242">
            <v>4000</v>
          </cell>
          <cell r="N1242">
            <v>5.7</v>
          </cell>
          <cell r="O1242">
            <v>4500</v>
          </cell>
          <cell r="P1242">
            <v>6000</v>
          </cell>
          <cell r="Q1242">
            <v>24.2</v>
          </cell>
          <cell r="R1242">
            <v>0.627</v>
          </cell>
          <cell r="S1242">
            <v>4.9000000000000004</v>
          </cell>
          <cell r="T1242">
            <v>79.900000000000006</v>
          </cell>
          <cell r="U1242">
            <v>10</v>
          </cell>
        </row>
        <row r="1243">
          <cell r="A1243" t="str">
            <v>AKMH64K</v>
          </cell>
          <cell r="B1243">
            <v>75.099999999999994</v>
          </cell>
          <cell r="C1243">
            <v>46</v>
          </cell>
          <cell r="D1243">
            <v>18.7</v>
          </cell>
          <cell r="E1243">
            <v>8.6999999999999993</v>
          </cell>
          <cell r="J1243">
            <v>17.100000000000001</v>
          </cell>
          <cell r="K1243">
            <v>1200</v>
          </cell>
          <cell r="L1243">
            <v>15.6</v>
          </cell>
          <cell r="M1243">
            <v>2000</v>
          </cell>
          <cell r="N1243">
            <v>14.2</v>
          </cell>
          <cell r="O1243">
            <v>2500</v>
          </cell>
          <cell r="P1243">
            <v>6000</v>
          </cell>
          <cell r="Q1243">
            <v>31.6</v>
          </cell>
          <cell r="R1243">
            <v>1.43</v>
          </cell>
          <cell r="S1243">
            <v>11.8</v>
          </cell>
          <cell r="T1243">
            <v>147</v>
          </cell>
          <cell r="U1243">
            <v>10</v>
          </cell>
        </row>
        <row r="1244">
          <cell r="A1244" t="str">
            <v>AKMH64L</v>
          </cell>
          <cell r="B1244">
            <v>75.599999999999994</v>
          </cell>
          <cell r="C1244">
            <v>64</v>
          </cell>
          <cell r="D1244">
            <v>19</v>
          </cell>
          <cell r="E1244">
            <v>12.1</v>
          </cell>
          <cell r="J1244">
            <v>16.8</v>
          </cell>
          <cell r="K1244">
            <v>1500</v>
          </cell>
          <cell r="L1244">
            <v>12.5</v>
          </cell>
          <cell r="M1244">
            <v>3000</v>
          </cell>
          <cell r="N1244">
            <v>10</v>
          </cell>
          <cell r="O1244">
            <v>3500</v>
          </cell>
          <cell r="P1244">
            <v>6000</v>
          </cell>
          <cell r="Q1244">
            <v>31.6</v>
          </cell>
          <cell r="R1244">
            <v>0.76700000000000002</v>
          </cell>
          <cell r="S1244">
            <v>6.2</v>
          </cell>
          <cell r="T1244">
            <v>107</v>
          </cell>
          <cell r="U1244">
            <v>10</v>
          </cell>
        </row>
        <row r="1245">
          <cell r="A1245" t="str">
            <v>AKMH65K</v>
          </cell>
          <cell r="B1245">
            <v>91.4</v>
          </cell>
          <cell r="C1245">
            <v>49</v>
          </cell>
          <cell r="D1245">
            <v>21.9</v>
          </cell>
          <cell r="E1245">
            <v>9.1</v>
          </cell>
          <cell r="J1245">
            <v>20.100000000000001</v>
          </cell>
          <cell r="K1245">
            <v>1000</v>
          </cell>
          <cell r="L1245">
            <v>17.7</v>
          </cell>
          <cell r="M1245">
            <v>2000</v>
          </cell>
          <cell r="N1245">
            <v>17.100000000000001</v>
          </cell>
          <cell r="O1245">
            <v>2200</v>
          </cell>
          <cell r="P1245">
            <v>6000</v>
          </cell>
          <cell r="Q1245">
            <v>40</v>
          </cell>
          <cell r="R1245">
            <v>1.35</v>
          </cell>
          <cell r="S1245">
            <v>11.4</v>
          </cell>
          <cell r="T1245">
            <v>164</v>
          </cell>
          <cell r="U1245">
            <v>10</v>
          </cell>
        </row>
        <row r="1246">
          <cell r="A1246" t="str">
            <v>AKMH65L</v>
          </cell>
          <cell r="B1246">
            <v>92</v>
          </cell>
          <cell r="C1246">
            <v>61</v>
          </cell>
          <cell r="D1246">
            <v>22.2</v>
          </cell>
          <cell r="E1246">
            <v>11.1</v>
          </cell>
          <cell r="J1246">
            <v>19.7</v>
          </cell>
          <cell r="K1246">
            <v>1300</v>
          </cell>
          <cell r="L1246">
            <v>16</v>
          </cell>
          <cell r="M1246">
            <v>2500</v>
          </cell>
          <cell r="N1246">
            <v>14.5</v>
          </cell>
          <cell r="O1246">
            <v>2800</v>
          </cell>
          <cell r="P1246">
            <v>6000</v>
          </cell>
          <cell r="Q1246">
            <v>40</v>
          </cell>
          <cell r="R1246">
            <v>1.07</v>
          </cell>
          <cell r="S1246">
            <v>7.6</v>
          </cell>
          <cell r="T1246">
            <v>133</v>
          </cell>
          <cell r="U1246">
            <v>10</v>
          </cell>
        </row>
        <row r="1247">
          <cell r="A1247" t="str">
            <v>AKMH65M</v>
          </cell>
          <cell r="B1247">
            <v>92</v>
          </cell>
          <cell r="C1247">
            <v>68</v>
          </cell>
          <cell r="D1247">
            <v>22.2</v>
          </cell>
          <cell r="E1247">
            <v>12.6</v>
          </cell>
          <cell r="J1247">
            <v>19.399999999999999</v>
          </cell>
          <cell r="K1247">
            <v>1500</v>
          </cell>
          <cell r="L1247">
            <v>16.100000000000001</v>
          </cell>
          <cell r="M1247">
            <v>2500</v>
          </cell>
          <cell r="N1247">
            <v>13.5</v>
          </cell>
          <cell r="O1247">
            <v>3000</v>
          </cell>
          <cell r="P1247">
            <v>6000</v>
          </cell>
          <cell r="Q1247">
            <v>40</v>
          </cell>
          <cell r="R1247">
            <v>0.747</v>
          </cell>
          <cell r="S1247">
            <v>6.1</v>
          </cell>
          <cell r="T1247">
            <v>119</v>
          </cell>
          <cell r="U1247">
            <v>10</v>
          </cell>
        </row>
        <row r="1248">
          <cell r="A1248" t="str">
            <v>VLM21C</v>
          </cell>
          <cell r="B1248">
            <v>1.66</v>
          </cell>
          <cell r="C1248">
            <v>6</v>
          </cell>
          <cell r="D1248">
            <v>0.48</v>
          </cell>
          <cell r="E1248">
            <v>1.49</v>
          </cell>
          <cell r="H1248">
            <v>0.44</v>
          </cell>
          <cell r="I1248">
            <v>3500</v>
          </cell>
          <cell r="J1248">
            <v>0.41</v>
          </cell>
          <cell r="K1248">
            <v>6000</v>
          </cell>
          <cell r="P1248">
            <v>6000</v>
          </cell>
          <cell r="Q1248">
            <v>0.42899999999999999</v>
          </cell>
          <cell r="R1248">
            <v>10.4</v>
          </cell>
          <cell r="S1248">
            <v>12.1</v>
          </cell>
          <cell r="T1248">
            <v>20.8</v>
          </cell>
          <cell r="U1248">
            <v>6</v>
          </cell>
        </row>
        <row r="1249">
          <cell r="A1249" t="str">
            <v>VLM21E</v>
          </cell>
          <cell r="B1249">
            <v>1.65</v>
          </cell>
          <cell r="C1249">
            <v>12</v>
          </cell>
          <cell r="D1249">
            <v>0.47</v>
          </cell>
          <cell r="E1249">
            <v>2.99</v>
          </cell>
          <cell r="F1249">
            <v>0.44</v>
          </cell>
          <cell r="G1249">
            <v>3000</v>
          </cell>
          <cell r="H1249">
            <v>0.41</v>
          </cell>
          <cell r="I1249">
            <v>6000</v>
          </cell>
          <cell r="P1249">
            <v>6000</v>
          </cell>
          <cell r="Q1249">
            <v>0.42899999999999999</v>
          </cell>
          <cell r="R1249">
            <v>2.6</v>
          </cell>
          <cell r="S1249">
            <v>3</v>
          </cell>
          <cell r="T1249">
            <v>10.4</v>
          </cell>
          <cell r="U1249">
            <v>6</v>
          </cell>
        </row>
        <row r="1250">
          <cell r="A1250" t="str">
            <v>VLM22C</v>
          </cell>
          <cell r="B1250">
            <v>2.91</v>
          </cell>
          <cell r="C1250">
            <v>6.8</v>
          </cell>
          <cell r="D1250">
            <v>0.81</v>
          </cell>
          <cell r="E1250">
            <v>1.69</v>
          </cell>
          <cell r="H1250">
            <v>0.69</v>
          </cell>
          <cell r="I1250">
            <v>2500</v>
          </cell>
          <cell r="J1250">
            <v>0.51</v>
          </cell>
          <cell r="K1250">
            <v>6000</v>
          </cell>
          <cell r="P1250">
            <v>6000</v>
          </cell>
          <cell r="Q1250">
            <v>0.63300000000000001</v>
          </cell>
          <cell r="R1250">
            <v>8.8000000000000007</v>
          </cell>
          <cell r="S1250">
            <v>12.1</v>
          </cell>
          <cell r="T1250">
            <v>31.2</v>
          </cell>
          <cell r="U1250">
            <v>6</v>
          </cell>
        </row>
        <row r="1251">
          <cell r="A1251" t="str">
            <v>VLM22E</v>
          </cell>
          <cell r="B1251">
            <v>2.94</v>
          </cell>
          <cell r="C1251">
            <v>13.3</v>
          </cell>
          <cell r="D1251">
            <v>0.83</v>
          </cell>
          <cell r="E1251">
            <v>3.34</v>
          </cell>
          <cell r="F1251">
            <v>0.73</v>
          </cell>
          <cell r="G1251">
            <v>2000</v>
          </cell>
          <cell r="H1251">
            <v>0.52</v>
          </cell>
          <cell r="I1251">
            <v>6000</v>
          </cell>
          <cell r="P1251">
            <v>6000</v>
          </cell>
          <cell r="Q1251">
            <v>0.63300000000000001</v>
          </cell>
          <cell r="R1251">
            <v>2.2999999999999998</v>
          </cell>
          <cell r="S1251">
            <v>3.2</v>
          </cell>
          <cell r="T1251">
            <v>16.100000000000001</v>
          </cell>
          <cell r="U1251">
            <v>6</v>
          </cell>
        </row>
        <row r="1252">
          <cell r="A1252" t="str">
            <v>VLM23D</v>
          </cell>
          <cell r="B1252">
            <v>4.2</v>
          </cell>
          <cell r="C1252">
            <v>9.8000000000000007</v>
          </cell>
          <cell r="D1252">
            <v>1.18</v>
          </cell>
          <cell r="E1252">
            <v>2.4500000000000002</v>
          </cell>
          <cell r="H1252">
            <v>0.94</v>
          </cell>
          <cell r="I1252">
            <v>3000</v>
          </cell>
          <cell r="J1252">
            <v>0.6</v>
          </cell>
          <cell r="K1252">
            <v>6000</v>
          </cell>
          <cell r="P1252">
            <v>6000</v>
          </cell>
          <cell r="Q1252">
            <v>0.81899999999999995</v>
          </cell>
          <cell r="R1252">
            <v>4.7</v>
          </cell>
          <cell r="S1252">
            <v>7.7</v>
          </cell>
          <cell r="T1252">
            <v>31.2</v>
          </cell>
          <cell r="U1252">
            <v>6</v>
          </cell>
        </row>
        <row r="1253">
          <cell r="A1253" t="str">
            <v>VLM23G</v>
          </cell>
          <cell r="B1253">
            <v>4.2</v>
          </cell>
          <cell r="C1253">
            <v>19.600000000000001</v>
          </cell>
          <cell r="D1253">
            <v>1.18</v>
          </cell>
          <cell r="E1253">
            <v>4.91</v>
          </cell>
          <cell r="F1253">
            <v>1</v>
          </cell>
          <cell r="G1253">
            <v>2500</v>
          </cell>
          <cell r="H1253">
            <v>0.6</v>
          </cell>
          <cell r="I1253">
            <v>6000</v>
          </cell>
          <cell r="P1253">
            <v>6000</v>
          </cell>
          <cell r="Q1253">
            <v>0.81899999999999995</v>
          </cell>
          <cell r="R1253">
            <v>1.2</v>
          </cell>
          <cell r="S1253">
            <v>1.9</v>
          </cell>
          <cell r="T1253">
            <v>15.6</v>
          </cell>
          <cell r="U1253">
            <v>6</v>
          </cell>
        </row>
        <row r="1254">
          <cell r="A1254" t="str">
            <v>VLM31E</v>
          </cell>
          <cell r="B1254">
            <v>6.4</v>
          </cell>
          <cell r="C1254">
            <v>11.3</v>
          </cell>
          <cell r="D1254">
            <v>1.96</v>
          </cell>
          <cell r="E1254">
            <v>2.84</v>
          </cell>
          <cell r="H1254">
            <v>1.8</v>
          </cell>
          <cell r="I1254">
            <v>2000</v>
          </cell>
          <cell r="J1254">
            <v>1.63</v>
          </cell>
          <cell r="K1254">
            <v>4000</v>
          </cell>
          <cell r="P1254">
            <v>6000</v>
          </cell>
          <cell r="Q1254">
            <v>1.79</v>
          </cell>
          <cell r="R1254">
            <v>4.3</v>
          </cell>
          <cell r="S1254">
            <v>11.7</v>
          </cell>
          <cell r="T1254">
            <v>45.9</v>
          </cell>
          <cell r="U1254">
            <v>6</v>
          </cell>
        </row>
        <row r="1255">
          <cell r="A1255" t="str">
            <v>VLM31H</v>
          </cell>
          <cell r="B1255">
            <v>6.4</v>
          </cell>
          <cell r="C1255">
            <v>22.9</v>
          </cell>
          <cell r="D1255">
            <v>1.95</v>
          </cell>
          <cell r="E1255">
            <v>5.72</v>
          </cell>
          <cell r="F1255">
            <v>1.82</v>
          </cell>
          <cell r="G1255">
            <v>1750</v>
          </cell>
          <cell r="H1255">
            <v>1.62</v>
          </cell>
          <cell r="I1255">
            <v>4000</v>
          </cell>
          <cell r="P1255">
            <v>6000</v>
          </cell>
          <cell r="Q1255">
            <v>1.79</v>
          </cell>
          <cell r="R1255">
            <v>1.1000000000000001</v>
          </cell>
          <cell r="S1255">
            <v>2.8</v>
          </cell>
          <cell r="T1255">
            <v>22.6</v>
          </cell>
          <cell r="U1255">
            <v>6</v>
          </cell>
        </row>
        <row r="1256">
          <cell r="A1256" t="str">
            <v>VLM32H</v>
          </cell>
          <cell r="B1256">
            <v>12</v>
          </cell>
          <cell r="C1256">
            <v>21.1</v>
          </cell>
          <cell r="D1256">
            <v>3.55</v>
          </cell>
          <cell r="E1256">
            <v>5.26</v>
          </cell>
          <cell r="H1256">
            <v>3.26</v>
          </cell>
          <cell r="I1256">
            <v>2000</v>
          </cell>
          <cell r="J1256">
            <v>2.86</v>
          </cell>
          <cell r="K1256">
            <v>4500</v>
          </cell>
          <cell r="P1256">
            <v>6000</v>
          </cell>
          <cell r="Q1256">
            <v>3.37</v>
          </cell>
          <cell r="R1256">
            <v>1.6</v>
          </cell>
          <cell r="S1256">
            <v>5</v>
          </cell>
          <cell r="T1256">
            <v>45.2</v>
          </cell>
          <cell r="U1256">
            <v>6</v>
          </cell>
        </row>
        <row r="1257">
          <cell r="A1257" t="str">
            <v>VLM32J</v>
          </cell>
          <cell r="B1257">
            <v>11.9</v>
          </cell>
          <cell r="C1257">
            <v>33.700000000000003</v>
          </cell>
          <cell r="D1257">
            <v>3.51</v>
          </cell>
          <cell r="E1257">
            <v>8.43</v>
          </cell>
          <cell r="F1257">
            <v>3.32</v>
          </cell>
          <cell r="G1257">
            <v>1500</v>
          </cell>
          <cell r="H1257">
            <v>3</v>
          </cell>
          <cell r="I1257">
            <v>3500</v>
          </cell>
          <cell r="P1257">
            <v>6000</v>
          </cell>
          <cell r="Q1257">
            <v>3.37</v>
          </cell>
          <cell r="R1257">
            <v>0.7</v>
          </cell>
          <cell r="S1257">
            <v>1.9</v>
          </cell>
          <cell r="T1257">
            <v>27.9</v>
          </cell>
          <cell r="U1257">
            <v>6</v>
          </cell>
        </row>
        <row r="1258">
          <cell r="A1258" t="str">
            <v>VLM33J</v>
          </cell>
          <cell r="B1258">
            <v>15.9</v>
          </cell>
          <cell r="C1258">
            <v>28.9</v>
          </cell>
          <cell r="D1258">
            <v>4.53</v>
          </cell>
          <cell r="E1258">
            <v>7.23</v>
          </cell>
          <cell r="H1258">
            <v>3.93</v>
          </cell>
          <cell r="I1258">
            <v>2250</v>
          </cell>
          <cell r="J1258">
            <v>2.37</v>
          </cell>
          <cell r="K1258">
            <v>5000</v>
          </cell>
          <cell r="P1258">
            <v>6000</v>
          </cell>
          <cell r="Q1258">
            <v>4.84</v>
          </cell>
          <cell r="R1258">
            <v>0.85</v>
          </cell>
          <cell r="S1258">
            <v>2.7</v>
          </cell>
          <cell r="T1258">
            <v>41.9</v>
          </cell>
          <cell r="U1258">
            <v>6</v>
          </cell>
        </row>
        <row r="1259">
          <cell r="A1259" t="str">
            <v>tbd</v>
          </cell>
        </row>
        <row r="1260">
          <cell r="A1260" t="str">
            <v>tbd</v>
          </cell>
        </row>
        <row r="1261">
          <cell r="A1261" t="str">
            <v>tbd</v>
          </cell>
        </row>
        <row r="1262">
          <cell r="A1262" t="str">
            <v>tbd</v>
          </cell>
        </row>
        <row r="1263">
          <cell r="A1263" t="str">
            <v>tbd</v>
          </cell>
        </row>
        <row r="1264">
          <cell r="A1264" t="str">
            <v>tbd</v>
          </cell>
        </row>
        <row r="1265">
          <cell r="A1265" t="str">
            <v>tbd</v>
          </cell>
        </row>
        <row r="1266">
          <cell r="A1266" t="str">
            <v>tbd</v>
          </cell>
        </row>
        <row r="1267">
          <cell r="A1267" t="str">
            <v>tbd</v>
          </cell>
        </row>
        <row r="1268">
          <cell r="A1268" t="str">
            <v>tbd</v>
          </cell>
        </row>
        <row r="1269">
          <cell r="A1269" t="str">
            <v>tbd</v>
          </cell>
        </row>
        <row r="1270">
          <cell r="A1270" t="str">
            <v>tbd</v>
          </cell>
        </row>
        <row r="1271">
          <cell r="A1271" t="str">
            <v>tbd</v>
          </cell>
        </row>
        <row r="1272">
          <cell r="A1272" t="str">
            <v>tbd</v>
          </cell>
        </row>
        <row r="1273">
          <cell r="A1273" t="str">
            <v>tbd</v>
          </cell>
        </row>
        <row r="1274">
          <cell r="A1274" t="str">
            <v>tbd</v>
          </cell>
        </row>
        <row r="1275">
          <cell r="A1275" t="str">
            <v>tbd</v>
          </cell>
        </row>
        <row r="1276">
          <cell r="A1276" t="str">
            <v>tbd</v>
          </cell>
        </row>
        <row r="1277">
          <cell r="A1277" t="str">
            <v>tbd</v>
          </cell>
        </row>
        <row r="1278">
          <cell r="A1278" t="str">
            <v>tbd</v>
          </cell>
        </row>
        <row r="1279">
          <cell r="A1279" t="str">
            <v>tbd</v>
          </cell>
        </row>
        <row r="1280">
          <cell r="A1280" t="str">
            <v>tbd</v>
          </cell>
        </row>
      </sheetData>
      <sheetData sheetId="3">
        <row r="95">
          <cell r="O95">
            <v>400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1.bin"/><Relationship Id="rId7"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thomsonlinear.com/downloads/calculations/PC_Series_Motor_ID_Tool_spuk.xlsm" TargetMode="External"/><Relationship Id="rId6" Type="http://schemas.openxmlformats.org/officeDocument/2006/relationships/drawing" Target="../drawings/drawing1.xml"/><Relationship Id="rId5" Type="http://schemas.openxmlformats.org/officeDocument/2006/relationships/customProperty" Target="../customProperty3.bin"/><Relationship Id="rId4" Type="http://schemas.openxmlformats.org/officeDocument/2006/relationships/customProperty" Target="../customProperty2.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8.bin"/><Relationship Id="rId5" Type="http://schemas.openxmlformats.org/officeDocument/2006/relationships/drawing" Target="../drawings/drawing9.xml"/><Relationship Id="rId4" Type="http://schemas.openxmlformats.org/officeDocument/2006/relationships/customProperty" Target="../customProperty27.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customProperty" Target="../customProperty28.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customProperty" Target="../customProperty31.bin"/><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9.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5.bin"/><Relationship Id="rId4"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5" Type="http://schemas.openxmlformats.org/officeDocument/2006/relationships/drawing" Target="../drawings/drawing5.xml"/><Relationship Id="rId4" Type="http://schemas.openxmlformats.org/officeDocument/2006/relationships/customProperty" Target="../customProperty15.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7.bin"/><Relationship Id="rId4" Type="http://schemas.openxmlformats.org/officeDocument/2006/relationships/customProperty" Target="../customProperty18.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customProperty" Target="../customProperty19.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customProperty" Target="../customProperty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theme="4" tint="0.59999389629810485"/>
  </sheetPr>
  <dimension ref="A1:AF102"/>
  <sheetViews>
    <sheetView showGridLines="0" tabSelected="1" zoomScaleNormal="100" workbookViewId="0">
      <selection activeCell="C47" sqref="C47:C48"/>
    </sheetView>
  </sheetViews>
  <sheetFormatPr defaultColWidth="8.85546875" defaultRowHeight="15"/>
  <cols>
    <col min="1" max="1" width="2.85546875" style="20" customWidth="1"/>
    <col min="2" max="2" width="22.140625" style="20" customWidth="1"/>
    <col min="3" max="3" width="8.85546875" style="20" customWidth="1"/>
    <col min="4" max="4" width="13.7109375" style="20" customWidth="1"/>
    <col min="5" max="5" width="19.7109375" style="20" customWidth="1"/>
    <col min="6" max="6" width="10.85546875" style="20" customWidth="1"/>
    <col min="7" max="7" width="11.42578125" style="20" customWidth="1"/>
    <col min="8" max="8" width="13.7109375" style="20" customWidth="1"/>
    <col min="9" max="9" width="11.5703125" style="20" customWidth="1"/>
    <col min="10" max="10" width="10.42578125" style="20" customWidth="1"/>
    <col min="11" max="11" width="2.28515625" style="20" customWidth="1"/>
    <col min="12" max="12" width="29.140625" style="20" customWidth="1"/>
    <col min="13" max="13" width="2.42578125" style="20" customWidth="1"/>
    <col min="14" max="14" width="12.85546875" style="20" customWidth="1"/>
    <col min="15" max="15" width="23.28515625" style="20" customWidth="1"/>
    <col min="16" max="16" width="16.85546875" style="20" customWidth="1"/>
    <col min="17" max="17" width="17.85546875" style="20" customWidth="1"/>
    <col min="18" max="18" width="16.140625" style="20" customWidth="1"/>
    <col min="19" max="19" width="14.5703125" style="20" customWidth="1"/>
    <col min="20" max="24" width="8.85546875" style="20" customWidth="1"/>
    <col min="25" max="16384" width="8.85546875" style="20"/>
  </cols>
  <sheetData>
    <row r="1" spans="1:17" s="22" customFormat="1" ht="26.25">
      <c r="B1" s="956"/>
      <c r="C1" s="956"/>
      <c r="D1" s="956"/>
      <c r="E1" s="956"/>
      <c r="F1" s="728"/>
      <c r="G1" s="728"/>
      <c r="H1" s="728"/>
      <c r="I1" s="728"/>
      <c r="J1" s="728"/>
      <c r="K1" s="728"/>
      <c r="L1" s="728"/>
    </row>
    <row r="4" spans="1:17">
      <c r="B4" s="865"/>
      <c r="C4" s="727" t="s">
        <v>416</v>
      </c>
      <c r="L4" s="54" t="s">
        <v>2038</v>
      </c>
    </row>
    <row r="5" spans="1:17">
      <c r="B5" s="866"/>
      <c r="C5" s="727" t="s">
        <v>469</v>
      </c>
    </row>
    <row r="6" spans="1:17">
      <c r="B6" s="852"/>
      <c r="C6" s="727" t="s">
        <v>415</v>
      </c>
      <c r="M6" s="274"/>
    </row>
    <row r="7" spans="1:17">
      <c r="B7" s="876" t="s">
        <v>487</v>
      </c>
      <c r="C7" s="1070"/>
      <c r="D7" s="957"/>
      <c r="E7" s="957"/>
      <c r="F7" s="957"/>
      <c r="G7" s="957"/>
      <c r="M7" s="274"/>
    </row>
    <row r="8" spans="1:17" ht="18.75" customHeight="1">
      <c r="B8" s="877" t="s">
        <v>488</v>
      </c>
      <c r="C8" s="958"/>
      <c r="D8" s="958"/>
      <c r="E8" s="958"/>
      <c r="F8" s="958"/>
      <c r="G8" s="958"/>
      <c r="H8" s="274"/>
      <c r="I8" s="274"/>
      <c r="L8" s="274"/>
      <c r="M8" s="274"/>
      <c r="N8" s="274"/>
    </row>
    <row r="9" spans="1:17" ht="18.75" customHeight="1">
      <c r="B9" s="877" t="s">
        <v>489</v>
      </c>
      <c r="C9" s="958"/>
      <c r="D9" s="958"/>
      <c r="E9" s="958"/>
      <c r="F9" s="958"/>
      <c r="G9" s="958"/>
      <c r="H9" s="274"/>
      <c r="I9" s="274"/>
      <c r="L9" s="274"/>
      <c r="M9" s="274"/>
      <c r="N9" s="274"/>
    </row>
    <row r="10" spans="1:17" ht="18.75" customHeight="1" thickBot="1">
      <c r="B10" s="878" t="s">
        <v>490</v>
      </c>
      <c r="C10" s="959"/>
      <c r="D10" s="959"/>
      <c r="E10" s="959"/>
      <c r="F10" s="959"/>
      <c r="G10" s="959"/>
      <c r="H10" s="274"/>
      <c r="I10" s="274"/>
      <c r="J10" s="274"/>
      <c r="K10" s="274"/>
      <c r="L10" s="274"/>
      <c r="M10" s="274"/>
      <c r="N10" s="274"/>
    </row>
    <row r="11" spans="1:17" ht="6.75" customHeight="1" thickTop="1">
      <c r="K11" s="55"/>
    </row>
    <row r="12" spans="1:17" ht="19.5" thickBot="1">
      <c r="B12" s="907" t="s">
        <v>389</v>
      </c>
      <c r="C12" s="945" t="s">
        <v>390</v>
      </c>
      <c r="D12" s="945"/>
      <c r="E12" s="945"/>
      <c r="F12" s="945"/>
      <c r="G12" s="907"/>
      <c r="H12" s="907" t="s">
        <v>1892</v>
      </c>
      <c r="I12" s="953" t="s">
        <v>1977</v>
      </c>
      <c r="J12" s="953"/>
      <c r="K12" s="953"/>
      <c r="L12" s="953"/>
    </row>
    <row r="13" spans="1:17" ht="15.75" thickTop="1">
      <c r="B13" s="730" t="s">
        <v>1931</v>
      </c>
      <c r="C13" s="880" t="s">
        <v>412</v>
      </c>
      <c r="D13" s="941" t="s">
        <v>2051</v>
      </c>
      <c r="E13" s="941"/>
      <c r="F13" s="185"/>
      <c r="G13" s="185"/>
      <c r="H13" s="187"/>
      <c r="I13" s="187"/>
      <c r="J13" s="187"/>
      <c r="K13" s="187"/>
      <c r="L13" s="185"/>
    </row>
    <row r="14" spans="1:17">
      <c r="A14" s="20">
        <f>IF(Data!E25=1,1,0)</f>
        <v>0</v>
      </c>
      <c r="B14" s="730" t="str">
        <f>IF(Data!E25&lt;&gt;0,"Max force is " &amp;Data!G25&amp;" "&amp;"["&amp;Data!E16&amp;"]","Max force Fx"&amp;" "&amp;"["&amp;Data!E16&amp;"]")</f>
        <v>Max force Fx [N]</v>
      </c>
      <c r="C14" s="858">
        <v>1</v>
      </c>
      <c r="D14" s="962" t="str">
        <f>Data!A51</f>
        <v xml:space="preserve"> </v>
      </c>
      <c r="E14" s="962"/>
      <c r="F14" s="962"/>
      <c r="G14" s="962"/>
      <c r="H14" s="961" t="s">
        <v>404</v>
      </c>
      <c r="I14" s="961"/>
      <c r="J14" s="754"/>
      <c r="L14" s="903" t="str">
        <f>IF(OR(Data!B141=1,Input!L15="-"),"Invalid Configuration","Cylinder mounting")</f>
        <v>Cylinder mounting</v>
      </c>
    </row>
    <row r="15" spans="1:17">
      <c r="B15" s="766" t="s">
        <v>2049</v>
      </c>
      <c r="C15" s="879" t="s">
        <v>337</v>
      </c>
      <c r="D15" s="962" t="str">
        <f>Data!A52&amp;" "&amp;Data!D52</f>
        <v xml:space="preserve">   </v>
      </c>
      <c r="E15" s="962"/>
      <c r="F15" s="962"/>
      <c r="G15" s="962"/>
      <c r="H15" s="946" t="s">
        <v>169</v>
      </c>
      <c r="I15" s="946"/>
      <c r="J15" s="189"/>
      <c r="L15" s="904" t="s">
        <v>173</v>
      </c>
      <c r="P15" s="23"/>
      <c r="Q15" s="23"/>
    </row>
    <row r="16" spans="1:17">
      <c r="B16" s="730" t="str">
        <f>"Total mass to move"&amp;" "&amp;"["&amp;Data!N16&amp;"]"</f>
        <v>Total mass to move [kg]</v>
      </c>
      <c r="C16" s="858">
        <v>0</v>
      </c>
      <c r="D16" s="187"/>
      <c r="E16" s="185"/>
      <c r="F16" s="185"/>
      <c r="G16" s="185"/>
      <c r="H16" s="187" t="s">
        <v>77</v>
      </c>
      <c r="I16" s="853">
        <f>Data!G59</f>
        <v>1</v>
      </c>
      <c r="J16" s="185"/>
      <c r="K16" s="185"/>
    </row>
    <row r="17" spans="1:32" ht="15" customHeight="1">
      <c r="A17" s="20">
        <f>IF(Data!E26=1,1,0)</f>
        <v>0</v>
      </c>
      <c r="B17" s="730" t="str">
        <f>IF(Data!E26&lt;&gt;0,"Max Radial Force is "&amp;Data!G26 &amp;" "&amp;"["&amp;Data!E16&amp;"]","Radial Force Fy or Fz"&amp;" "&amp;"["&amp;Data!E16&amp;"]")</f>
        <v>Radial Force Fy or Fz [N]</v>
      </c>
      <c r="C17" s="858">
        <v>0</v>
      </c>
      <c r="D17" s="187"/>
      <c r="E17" s="185"/>
      <c r="F17" s="185"/>
      <c r="G17" s="185"/>
      <c r="H17" s="187" t="s">
        <v>78</v>
      </c>
      <c r="I17" s="854">
        <f>Data!E59</f>
        <v>0.9</v>
      </c>
      <c r="J17" s="185"/>
      <c r="L17" s="903" t="s">
        <v>196</v>
      </c>
    </row>
    <row r="18" spans="1:32">
      <c r="A18" s="20">
        <f>IF(Data!E28=1,1,0)</f>
        <v>0</v>
      </c>
      <c r="B18" s="730" t="str">
        <f>IF(AND(Data!B16=1,C18&gt;1200),"Max stroke is 1200 mm",IF(AND(Data!B16=2,C18&gt;1200/25.4),"Max stroke is 47 inch","Stroke"&amp;" "&amp;"["&amp;Data!D16&amp;"]"))</f>
        <v>Stroke [mm]</v>
      </c>
      <c r="C18" s="858">
        <v>1</v>
      </c>
      <c r="D18" s="187"/>
      <c r="E18" s="185"/>
      <c r="F18" s="185"/>
      <c r="G18" s="185"/>
      <c r="H18" s="187" t="s">
        <v>1932</v>
      </c>
      <c r="I18" s="935">
        <f>Data!F59</f>
        <v>0</v>
      </c>
      <c r="J18" s="185"/>
      <c r="L18" s="904" t="s">
        <v>181</v>
      </c>
      <c r="M18" s="906"/>
    </row>
    <row r="19" spans="1:32" ht="15" customHeight="1">
      <c r="A19" s="20">
        <f>IF(Data!$E$30=1,1,0)</f>
        <v>0</v>
      </c>
      <c r="B19" s="730" t="str">
        <f>IF(AND(Data!B16=1,C19&gt;1666),"Max Speed is 1666 mm/s",IF(AND(Data!B16=2,C19&gt;65),"Max Speed is 65 Inches/s","Speed"&amp;" "&amp;"["&amp;Data!G16&amp;"]"))</f>
        <v>Speed [mm/s]</v>
      </c>
      <c r="C19" s="858">
        <v>1</v>
      </c>
      <c r="D19" s="187"/>
      <c r="E19" s="186"/>
      <c r="F19" s="191"/>
      <c r="G19" s="185"/>
    </row>
    <row r="20" spans="1:32" s="24" customFormat="1" ht="17.25" customHeight="1">
      <c r="A20" s="24">
        <f>IF(Data!$E$32=1,1,0)</f>
        <v>0</v>
      </c>
      <c r="B20" s="730" t="str">
        <f>IF(AND(Data!B16=1,C20&gt;10),"Max Accel. is 10 m/s²",IF(AND(Data!B16=2,C20&gt;393),"Max Accel. is 393 Inches/s²","Acceleration"&amp;" "&amp;"["&amp;Data!H16&amp;"]"))</f>
        <v>Acceleration [m/s²]</v>
      </c>
      <c r="C20" s="858">
        <v>1</v>
      </c>
      <c r="D20" s="189"/>
      <c r="E20" s="189"/>
      <c r="F20" s="189"/>
      <c r="G20" s="189"/>
      <c r="H20" s="960" t="s">
        <v>417</v>
      </c>
      <c r="I20" s="960"/>
      <c r="J20" s="960"/>
      <c r="L20" s="905" t="str">
        <f>IF(Data!E83=2,"Micron gear part number","")</f>
        <v/>
      </c>
      <c r="M20" s="20"/>
      <c r="N20" s="20"/>
      <c r="O20" s="20"/>
    </row>
    <row r="21" spans="1:32">
      <c r="B21" s="845" t="s">
        <v>2050</v>
      </c>
      <c r="C21" s="880">
        <v>1</v>
      </c>
      <c r="D21" s="190"/>
      <c r="E21" s="187"/>
      <c r="F21" s="187"/>
      <c r="G21" s="187"/>
      <c r="H21" s="946" t="s">
        <v>398</v>
      </c>
      <c r="I21" s="946"/>
      <c r="J21" s="185"/>
      <c r="K21" s="185"/>
      <c r="L21" s="185"/>
    </row>
    <row r="22" spans="1:32" s="24" customFormat="1" ht="15.75" customHeight="1">
      <c r="B22" s="730" t="str">
        <f>IF(C25*C22&gt;30,"Not possible","Cycles per minute")</f>
        <v>Cycles per minute</v>
      </c>
      <c r="C22" s="858">
        <v>1</v>
      </c>
      <c r="D22" s="190"/>
      <c r="E22" s="187"/>
      <c r="F22" s="188"/>
      <c r="G22" s="881"/>
      <c r="H22" s="275" t="s">
        <v>154</v>
      </c>
      <c r="I22" s="855" t="s">
        <v>299</v>
      </c>
      <c r="J22" s="20"/>
      <c r="K22" s="902"/>
      <c r="L22" s="857" t="str">
        <f ca="1">IF(AND(Data!$E$83=2,Data!$J$150=4),"Please check if motor fits to Micron gear",Data!I106)</f>
        <v/>
      </c>
      <c r="M22" s="20"/>
      <c r="N22" s="20"/>
      <c r="O22" s="20"/>
    </row>
    <row r="23" spans="1:32">
      <c r="B23" s="730" t="str">
        <f>IF(C23&gt;24,"Not possible","Working hours per day")</f>
        <v>Working hours per day</v>
      </c>
      <c r="C23" s="858">
        <v>1</v>
      </c>
      <c r="D23" s="190"/>
      <c r="E23" s="187"/>
      <c r="F23" s="187"/>
      <c r="G23" s="187"/>
      <c r="H23" s="275" t="s">
        <v>77</v>
      </c>
      <c r="I23" s="859">
        <v>3</v>
      </c>
      <c r="J23" s="24"/>
      <c r="K23" s="189"/>
      <c r="L23" s="189"/>
    </row>
    <row r="24" spans="1:32">
      <c r="B24" s="730" t="str">
        <f>IF(C24&gt;365,"Not possible","Working days per year")</f>
        <v>Working days per year</v>
      </c>
      <c r="C24" s="858">
        <v>1</v>
      </c>
      <c r="D24" s="187"/>
      <c r="E24" s="187"/>
      <c r="F24" s="187"/>
      <c r="G24" s="187"/>
      <c r="H24" s="730" t="s">
        <v>77</v>
      </c>
      <c r="I24" s="861">
        <v>3</v>
      </c>
      <c r="K24" s="185"/>
      <c r="L24" s="185"/>
    </row>
    <row r="25" spans="1:32">
      <c r="B25" s="730" t="s">
        <v>411</v>
      </c>
      <c r="C25" s="852">
        <f>Data!C48</f>
        <v>1.0009999999999999</v>
      </c>
      <c r="D25" s="187"/>
      <c r="E25" s="187"/>
      <c r="F25" s="187"/>
      <c r="G25" s="187"/>
      <c r="H25" s="730" t="s">
        <v>78</v>
      </c>
      <c r="I25" s="862">
        <v>0.93</v>
      </c>
      <c r="K25" s="185"/>
      <c r="L25" s="185"/>
    </row>
    <row r="26" spans="1:32">
      <c r="B26" s="730" t="str">
        <f>"Average speed"&amp;" "&amp;"["&amp;Data!G16&amp;"]"</f>
        <v>Average speed [mm/s]</v>
      </c>
      <c r="C26" s="852">
        <f>Data!L27</f>
        <v>0.99900099900099926</v>
      </c>
      <c r="D26" s="185"/>
      <c r="E26" s="187"/>
      <c r="F26" s="187"/>
      <c r="G26" s="187"/>
      <c r="H26" s="730" t="s">
        <v>157</v>
      </c>
      <c r="I26" s="863">
        <v>1E-3</v>
      </c>
      <c r="K26" s="185"/>
      <c r="L26" s="185"/>
    </row>
    <row r="27" spans="1:32">
      <c r="B27" s="730" t="s">
        <v>52</v>
      </c>
      <c r="C27" s="900">
        <f>C25*C22*2/60</f>
        <v>3.3366666666666663E-2</v>
      </c>
      <c r="D27" s="901"/>
      <c r="E27" s="187"/>
      <c r="F27" s="185"/>
      <c r="G27" s="185"/>
      <c r="H27" s="730" t="s">
        <v>399</v>
      </c>
      <c r="I27" s="864">
        <v>7.5999999999999998E-2</v>
      </c>
      <c r="K27" s="185"/>
      <c r="L27" s="185"/>
    </row>
    <row r="28" spans="1:32" ht="3" customHeight="1">
      <c r="B28" s="908"/>
      <c r="C28" s="908"/>
      <c r="D28" s="185"/>
      <c r="E28" s="187"/>
      <c r="F28" s="185"/>
      <c r="G28" s="185"/>
      <c r="H28" s="185"/>
    </row>
    <row r="29" spans="1:32" ht="25.5" customHeight="1" thickBot="1">
      <c r="A29" s="185"/>
      <c r="B29" s="907" t="s">
        <v>1893</v>
      </c>
      <c r="C29" s="945" t="s">
        <v>391</v>
      </c>
      <c r="D29" s="945"/>
      <c r="E29" s="945"/>
      <c r="F29" s="945"/>
      <c r="G29" s="907"/>
      <c r="H29" s="945" t="str">
        <f ca="1">IF(Data!$J$150=1,Data!$AL$142,"")</f>
        <v>Motor perfomance of  AKM22E</v>
      </c>
      <c r="I29" s="945"/>
      <c r="J29" s="945"/>
      <c r="K29" s="945"/>
      <c r="L29" s="945"/>
    </row>
    <row r="30" spans="1:32" ht="3" customHeight="1" thickTop="1">
      <c r="B30" s="187"/>
      <c r="C30" s="187"/>
      <c r="D30" s="187"/>
      <c r="E30" s="187"/>
      <c r="F30" s="187"/>
      <c r="G30" s="185"/>
      <c r="H30" s="187"/>
      <c r="I30" s="754"/>
      <c r="J30" s="754"/>
      <c r="K30" s="875"/>
      <c r="L30" s="754"/>
    </row>
    <row r="31" spans="1:32" s="25" customFormat="1" ht="16.5" customHeight="1">
      <c r="B31" s="835" t="s">
        <v>403</v>
      </c>
      <c r="C31" s="961" t="str">
        <f ca="1">IF(Data!D143=1,"Invalid Configuration",IF(Data!$J$150=1,"Input voltage (VAC)",IF(Data!$J$150=2,"Input voltage (VDC)","")))</f>
        <v>Input voltage (VAC)</v>
      </c>
      <c r="D31" s="961"/>
      <c r="E31" s="925" t="str">
        <f ca="1">IF(OR(Data!C141=1,Data!C143=1),"Invalid Configuration","Select size")</f>
        <v>Select size</v>
      </c>
      <c r="F31" s="754"/>
      <c r="G31" s="754"/>
      <c r="H31" s="967" t="s">
        <v>2047</v>
      </c>
      <c r="I31" s="967"/>
      <c r="K31" s="966" t="s">
        <v>2048</v>
      </c>
      <c r="L31" s="966"/>
    </row>
    <row r="32" spans="1:32" s="24" customFormat="1" ht="15.75" customHeight="1">
      <c r="B32" s="859" t="s">
        <v>401</v>
      </c>
      <c r="C32" s="946" t="s">
        <v>2042</v>
      </c>
      <c r="D32" s="946"/>
      <c r="E32" s="870" t="s">
        <v>85</v>
      </c>
      <c r="F32" s="189"/>
      <c r="G32" s="189"/>
      <c r="H32" s="185"/>
      <c r="I32" s="189"/>
      <c r="J32" s="189"/>
      <c r="K32" s="189"/>
      <c r="L32" s="189"/>
      <c r="O32" s="931"/>
      <c r="X32" s="25"/>
      <c r="AB32" s="20"/>
      <c r="AF32" s="860"/>
    </row>
    <row r="33" spans="1:23">
      <c r="A33" s="185"/>
      <c r="B33" s="835" t="str">
        <f ca="1">IF(Data!D141=1,"Invalid Configuration",IF(Data!$J$150=1,"Brake","Rear Shaft"))</f>
        <v>Brake</v>
      </c>
      <c r="C33" s="961" t="str">
        <f ca="1">IF(Data!E141=1,"Invalid Configuration",IF(Data!$J$150=1,"Feedback","Sealing Option"))</f>
        <v>Feedback</v>
      </c>
      <c r="D33" s="961"/>
      <c r="E33" s="185"/>
      <c r="F33" s="185"/>
      <c r="G33" s="185"/>
      <c r="H33" s="185"/>
      <c r="I33" s="185"/>
      <c r="J33" s="185"/>
      <c r="K33" s="185"/>
      <c r="L33" s="185"/>
      <c r="N33" s="944"/>
      <c r="O33" s="933"/>
    </row>
    <row r="34" spans="1:23">
      <c r="A34" s="185"/>
      <c r="B34" s="859" t="s">
        <v>337</v>
      </c>
      <c r="C34" s="952" t="s">
        <v>1897</v>
      </c>
      <c r="D34" s="952"/>
      <c r="E34" s="185"/>
      <c r="F34" s="185"/>
      <c r="G34" s="185"/>
      <c r="H34" s="185"/>
      <c r="I34" s="185"/>
      <c r="J34" s="185"/>
      <c r="K34" s="185"/>
      <c r="L34" s="185"/>
      <c r="N34" s="944"/>
      <c r="O34" s="933"/>
    </row>
    <row r="35" spans="1:23">
      <c r="B35" s="185"/>
      <c r="C35" s="185"/>
      <c r="D35" s="185"/>
      <c r="E35" s="185"/>
      <c r="F35" s="185"/>
      <c r="G35" s="185"/>
      <c r="H35" s="185"/>
      <c r="I35" s="185"/>
      <c r="J35" s="185"/>
      <c r="K35" s="185"/>
      <c r="L35" s="185"/>
      <c r="N35" s="944"/>
      <c r="O35" s="933"/>
    </row>
    <row r="36" spans="1:23" ht="15.75">
      <c r="B36" s="828" t="str">
        <f ca="1">IF(Data!J150&lt;4,"Motor Data For" &amp;" "&amp;E32, "Motor data Customer Supplied Motor")</f>
        <v>Motor Data For AKM22E</v>
      </c>
      <c r="C36" s="828"/>
      <c r="D36" s="828"/>
      <c r="E36" s="951" t="s">
        <v>184</v>
      </c>
      <c r="F36" s="951"/>
      <c r="G36" s="951"/>
      <c r="H36" s="185"/>
      <c r="I36" s="185"/>
      <c r="J36" s="185"/>
      <c r="K36" s="185"/>
      <c r="L36" s="185"/>
      <c r="N36" s="944"/>
      <c r="O36" s="933"/>
      <c r="P36" s="23"/>
      <c r="W36" s="26"/>
    </row>
    <row r="37" spans="1:23">
      <c r="B37" s="187" t="str">
        <f>Data!D207</f>
        <v>Cont. torque (Stall) [Nm]</v>
      </c>
      <c r="C37" s="858">
        <v>10</v>
      </c>
      <c r="D37" s="852">
        <f ca="1">Data!D150</f>
        <v>0.87</v>
      </c>
      <c r="E37" s="964" t="str">
        <f ca="1">IF(Data!$J$150=1,LOOKUP(Data!$R$205,Data!$R$209:$R$246,Data!$Q$209:$Q$246),IF(Data!$J$150=2,LOOKUP(Data!$B$150,Data!$Y$357:$Y$380,Data!$AI$357:$AI$380),""))</f>
        <v>AKM22E-ANCNR-00</v>
      </c>
      <c r="F37" s="964"/>
      <c r="G37" s="964"/>
      <c r="H37" s="185"/>
      <c r="I37" s="185"/>
      <c r="J37" s="185"/>
      <c r="K37" s="185"/>
      <c r="L37" s="185"/>
      <c r="N37" s="944"/>
      <c r="O37" s="933"/>
    </row>
    <row r="38" spans="1:23" ht="15.75">
      <c r="B38" s="187" t="str">
        <f>Data!E207</f>
        <v>Peak torque [Nm]</v>
      </c>
      <c r="C38" s="858">
        <v>10</v>
      </c>
      <c r="D38" s="852">
        <f ca="1">Data!E150</f>
        <v>2.76</v>
      </c>
      <c r="E38" s="963" t="s">
        <v>1896</v>
      </c>
      <c r="F38" s="963"/>
      <c r="G38" s="963"/>
      <c r="H38" s="185"/>
      <c r="I38" s="185"/>
      <c r="J38" s="185"/>
      <c r="K38" s="185"/>
      <c r="L38" s="185"/>
      <c r="N38" s="944"/>
    </row>
    <row r="39" spans="1:23">
      <c r="B39" s="187" t="str">
        <f>Data!F207</f>
        <v>Rated torque [Nm]</v>
      </c>
      <c r="C39" s="858">
        <v>10</v>
      </c>
      <c r="D39" s="852">
        <f ca="1">Data!F150</f>
        <v>0.7</v>
      </c>
      <c r="E39" s="965" t="str">
        <f ca="1">Data!S108</f>
        <v>004</v>
      </c>
      <c r="F39" s="965"/>
      <c r="G39" s="965"/>
      <c r="H39" s="185"/>
      <c r="I39" s="185"/>
      <c r="J39" s="185"/>
      <c r="K39" s="185"/>
      <c r="L39" s="185"/>
      <c r="N39" s="944"/>
    </row>
    <row r="40" spans="1:23">
      <c r="B40" s="187" t="str">
        <f ca="1">Data!G207</f>
        <v>Rated speed [rpm]</v>
      </c>
      <c r="C40" s="858">
        <v>4000</v>
      </c>
      <c r="D40" s="852">
        <f ca="1">Data!G150</f>
        <v>8000</v>
      </c>
      <c r="E40" s="185"/>
      <c r="F40" s="192"/>
      <c r="G40" s="185"/>
      <c r="H40" s="185"/>
      <c r="I40" s="185"/>
      <c r="J40" s="185"/>
      <c r="K40" s="185"/>
      <c r="L40" s="185"/>
      <c r="N40" s="944"/>
    </row>
    <row r="41" spans="1:23">
      <c r="B41" s="187" t="str">
        <f>Data!H207</f>
        <v>Inertia [kg cm²]</v>
      </c>
      <c r="C41" s="858">
        <v>0.5</v>
      </c>
      <c r="D41" s="848">
        <f ca="1">Data!H150</f>
        <v>0.16</v>
      </c>
      <c r="E41" s="185"/>
      <c r="F41" s="192"/>
      <c r="G41" s="185"/>
      <c r="H41" s="185"/>
      <c r="I41" s="185"/>
      <c r="J41" s="185"/>
      <c r="K41" s="185"/>
      <c r="L41" s="185"/>
      <c r="N41" s="944"/>
    </row>
    <row r="42" spans="1:23">
      <c r="B42" s="187" t="s">
        <v>409</v>
      </c>
      <c r="C42" s="753"/>
      <c r="D42" s="856">
        <f ca="1">Calc!B71</f>
        <v>8000</v>
      </c>
      <c r="E42" s="753"/>
      <c r="F42" s="192"/>
      <c r="G42" s="185"/>
      <c r="H42" s="185"/>
      <c r="I42" s="185"/>
      <c r="J42" s="185"/>
      <c r="K42" s="185"/>
      <c r="L42" s="185"/>
      <c r="P42" s="23"/>
      <c r="W42" s="23"/>
    </row>
    <row r="43" spans="1:23">
      <c r="B43" s="185"/>
      <c r="C43" s="753"/>
      <c r="D43" s="753"/>
      <c r="E43" s="753"/>
      <c r="F43" s="192"/>
      <c r="G43" s="185"/>
      <c r="H43" s="185"/>
      <c r="I43" s="185"/>
      <c r="J43" s="185"/>
      <c r="K43" s="185"/>
      <c r="L43" s="185"/>
    </row>
    <row r="44" spans="1:23" ht="15" customHeight="1">
      <c r="E44" s="185"/>
      <c r="F44" s="185"/>
      <c r="G44" s="185"/>
    </row>
    <row r="45" spans="1:23" ht="19.5" thickBot="1">
      <c r="B45" s="945" t="s">
        <v>260</v>
      </c>
      <c r="C45" s="945"/>
      <c r="D45" s="945"/>
      <c r="E45" s="945"/>
      <c r="F45" s="945" t="s">
        <v>261</v>
      </c>
      <c r="G45" s="945"/>
      <c r="H45" s="945"/>
      <c r="I45" s="945"/>
      <c r="J45" s="945"/>
      <c r="K45" s="945" t="s">
        <v>287</v>
      </c>
      <c r="L45" s="945"/>
      <c r="M45" s="752"/>
      <c r="N45" s="752"/>
    </row>
    <row r="46" spans="1:23" ht="18" customHeight="1" thickTop="1">
      <c r="B46" s="187"/>
      <c r="C46" s="829" t="s">
        <v>257</v>
      </c>
      <c r="D46" s="909" t="s">
        <v>414</v>
      </c>
      <c r="E46" s="838" t="s">
        <v>256</v>
      </c>
      <c r="F46" s="830" t="s">
        <v>111</v>
      </c>
      <c r="G46" s="830" t="s">
        <v>110</v>
      </c>
      <c r="H46" s="829" t="s">
        <v>113</v>
      </c>
      <c r="I46" s="829" t="s">
        <v>338</v>
      </c>
      <c r="J46" s="947" t="s">
        <v>111</v>
      </c>
      <c r="K46" s="948"/>
      <c r="L46" s="910" t="s">
        <v>125</v>
      </c>
    </row>
    <row r="47" spans="1:23">
      <c r="B47" s="830" t="s">
        <v>1978</v>
      </c>
      <c r="C47" s="954" t="s">
        <v>41</v>
      </c>
      <c r="D47" s="829" t="s">
        <v>50</v>
      </c>
      <c r="E47" s="836" t="s">
        <v>80</v>
      </c>
      <c r="F47" s="830" t="s">
        <v>51</v>
      </c>
      <c r="G47" s="830" t="s">
        <v>112</v>
      </c>
      <c r="H47" s="829" t="s">
        <v>114</v>
      </c>
      <c r="I47" s="829" t="s">
        <v>1894</v>
      </c>
      <c r="J47" s="949" t="s">
        <v>259</v>
      </c>
      <c r="K47" s="950"/>
      <c r="L47" s="911" t="s">
        <v>255</v>
      </c>
    </row>
    <row r="48" spans="1:23" ht="15.75" customHeight="1">
      <c r="B48" s="831"/>
      <c r="C48" s="955"/>
      <c r="D48" s="832" t="s">
        <v>7</v>
      </c>
      <c r="E48" s="837"/>
      <c r="F48" s="833" t="s">
        <v>17</v>
      </c>
      <c r="G48" s="833" t="s">
        <v>7</v>
      </c>
      <c r="H48" s="834" t="s">
        <v>7</v>
      </c>
      <c r="I48" s="834" t="s">
        <v>7</v>
      </c>
      <c r="J48" s="942"/>
      <c r="K48" s="943"/>
      <c r="L48" s="912"/>
    </row>
    <row r="49" spans="2:26">
      <c r="B49" s="846" t="str">
        <f ca="1">IF(AND(J49="OK",Data!$C$59&lt;&gt;3,Data!AD138=1),"Motor dimensions out of range",IF(J49="OK",Data!X93,""))</f>
        <v>PC25LX004B03-01FC1</v>
      </c>
      <c r="C49" s="847" t="str">
        <f ca="1">IF(AND(J49="OK",$C$47="Hours"),Data!X83,IF(AND(J49="OK",$C$47="Years"),Data!Y83,IF(AND(J49="OK",$C$47="Millions of Cycles"),Data!Z83,"")))</f>
        <v>&gt;50</v>
      </c>
      <c r="D49" s="848">
        <f>Data!V7</f>
        <v>5.0846831036594611E-2</v>
      </c>
      <c r="E49" s="848">
        <f>Data!AN21</f>
        <v>7.8275000000000011E-3</v>
      </c>
      <c r="F49" s="849">
        <f>IF(Data!$E$83=2,Data!$D$90*Data!M7,Data!$L$115*Data!M7)</f>
        <v>20</v>
      </c>
      <c r="G49" s="850">
        <f>Data!AK21</f>
        <v>5.6496478929549565E-2</v>
      </c>
      <c r="H49" s="850">
        <f ca="1">Data!AL21</f>
        <v>9.1628368929549564E-2</v>
      </c>
      <c r="I49" s="850">
        <f ca="1">Data!U116</f>
        <v>7.370930219683638E-3</v>
      </c>
      <c r="J49" s="850" t="str">
        <f ca="1">IF(AND(G49&lt;IF(Data!$J$150=2,Data!$X$361,IF(Data!$J$150=1,VLOOKUP(F49,Data!$AG$149:$AH$200,2,TRUE),Data!$F$149)),F49&gt;Data!$M$153*Data!$T$149,H49&lt;Data!$E$149,F49&lt;=Data!$T$149*Data!$M$150,Data!AM21&lt;7,I49&lt;=Data!$F$149),"OK","Not OK")</f>
        <v>OK</v>
      </c>
      <c r="K49" s="851">
        <f ca="1">IF(Data!AA138=1,1,0)</f>
        <v>0</v>
      </c>
      <c r="L49" s="848">
        <f ca="1">Data!AM21</f>
        <v>1.048921875</v>
      </c>
      <c r="R49" s="276"/>
    </row>
    <row r="50" spans="2:26">
      <c r="B50" s="839" t="str">
        <f ca="1">IF(AND(J50="OK",Data!$C$59&lt;&gt;3,Data!AD139=1),"Motor dimensions out of range",IF(J50="OK",Data!X94,""))</f>
        <v>PC25LX004B10-01FC1</v>
      </c>
      <c r="C50" s="840" t="str">
        <f ca="1">IF(AND(J50="OK",$C$47="Hours"),Data!X84,IF(AND(J50="OK",$C$47="Years"),Data!Y84,IF(AND(J50="OK",$C$47="Millions of Cycles"),Data!Z84,"")))</f>
        <v>&gt;50</v>
      </c>
      <c r="D50" s="841">
        <f>Data!V8</f>
        <v>0.15221443678864868</v>
      </c>
      <c r="E50" s="841">
        <f>Data!AN22</f>
        <v>7.8275000000000011E-3</v>
      </c>
      <c r="F50" s="842">
        <f>IF(Data!$E$83=2,Data!$D$90*Data!M8,Data!$L$115*Data!M8)</f>
        <v>6</v>
      </c>
      <c r="G50" s="843">
        <f>Data!AK22</f>
        <v>0.16912715198738743</v>
      </c>
      <c r="H50" s="843">
        <f ca="1">Data!AL22</f>
        <v>0.17966671898738742</v>
      </c>
      <c r="I50" s="843">
        <f ca="1">Data!U117</f>
        <v>2.203250112238065E-2</v>
      </c>
      <c r="J50" s="843" t="str">
        <f ca="1">IF(AND(G50&lt;IF(Data!$J$150=2,Data!$X$361,IF(Data!$J$150=1,VLOOKUP(F50,Data!$AG$149:$AH$200,2,TRUE),Data!$F$149)),F50&gt;Data!$M$153*Data!$T$149,H50&lt;Data!$E$149,F50&lt;=Data!$T$149*Data!$M$150,Data!AM22&lt;7,I50&lt;=Data!$F$149),"OK","Not OK")</f>
        <v>OK</v>
      </c>
      <c r="K50" s="844">
        <f ca="1">IF(Data!AA139=1,1,0)</f>
        <v>0</v>
      </c>
      <c r="L50" s="841">
        <f ca="1">Data!AM22</f>
        <v>1.048921875</v>
      </c>
      <c r="R50" s="276"/>
    </row>
    <row r="51" spans="2:26">
      <c r="B51" s="846" t="str">
        <f ca="1">IF(AND(J51="OK",Data!$C$59&lt;&gt;3,Data!AD140=1),"Motor dimensions out of range",IF(J51="OK",Data!X95,""))</f>
        <v>PC32LX004B04-01FC1</v>
      </c>
      <c r="C51" s="847" t="str">
        <f ca="1">IF(AND(J51="OK",$C$47="Hours"),Data!X85,IF(AND(J51="OK",$C$47="Years"),Data!Y85,IF(AND(J51="OK",$C$47="Millions of Cycles"),Data!Z85,"")))</f>
        <v>&gt;50</v>
      </c>
      <c r="D51" s="848">
        <f>Data!V9</f>
        <v>7.1145774715459492E-2</v>
      </c>
      <c r="E51" s="848">
        <f>Data!AN23</f>
        <v>1.6180200000000002E-2</v>
      </c>
      <c r="F51" s="849">
        <f>IF(Data!$E$83=2,Data!$D$90*Data!M9,Data!$L$115*Data!M9)</f>
        <v>15</v>
      </c>
      <c r="G51" s="850">
        <f>Data!AK23</f>
        <v>7.9050860794954991E-2</v>
      </c>
      <c r="H51" s="850">
        <f ca="1">Data!AL23</f>
        <v>0.106711152194955</v>
      </c>
      <c r="I51" s="850">
        <f ca="1">Data!U118</f>
        <v>1.0305231756403492E-2</v>
      </c>
      <c r="J51" s="850" t="str">
        <f ca="1">IF(AND(G51&lt;IF(Data!$J$150=2,Data!$X$361,IF(Data!$J$150=1,VLOOKUP(F51,Data!$AG$149:$AH$200,2,TRUE),Data!$F$149)),F51&gt;Data!$M$153*Data!$T$149,H51&lt;Data!$E$149,F51&lt;=Data!$T$149*Data!$M$150,Data!AM23&lt;7,I51&lt;=Data!$F$149),"OK","Not OK")</f>
        <v>OK</v>
      </c>
      <c r="K51" s="851">
        <f ca="1">IF(Data!AA140=1,1,0)</f>
        <v>0</v>
      </c>
      <c r="L51" s="848">
        <f ca="1">Data!AM23</f>
        <v>1.1011262500000001</v>
      </c>
      <c r="R51" s="276"/>
    </row>
    <row r="52" spans="2:26">
      <c r="B52" s="839" t="str">
        <f ca="1">IF(AND(J52="OK",Data!$C$59&lt;&gt;3,Data!AD141=1),"Motor dimensions out of range",IF(J52="OK",Data!X96,""))</f>
        <v>PC32LX004B10-01FC1</v>
      </c>
      <c r="C52" s="840" t="str">
        <f ca="1">IF(AND(J52="OK",$C$47="Hours"),Data!X86,IF(AND(J52="OK",$C$47="Years"),Data!Y86,IF(AND(J52="OK",$C$47="Millions of Cycles"),Data!Z86,"")))</f>
        <v>&gt;50</v>
      </c>
      <c r="D52" s="841">
        <f>Data!V10</f>
        <v>0.18234943678864868</v>
      </c>
      <c r="E52" s="841">
        <f>Data!AN24</f>
        <v>1.6180200000000002E-2</v>
      </c>
      <c r="F52" s="842">
        <f>IF(Data!$E$83=2,Data!$D$90*Data!M10,Data!$L$115*Data!M10)</f>
        <v>6</v>
      </c>
      <c r="G52" s="843">
        <f>Data!AK24</f>
        <v>0.20261048532072073</v>
      </c>
      <c r="H52" s="843">
        <f ca="1">Data!AL24</f>
        <v>0.21367460188072074</v>
      </c>
      <c r="I52" s="843">
        <f ca="1">Data!U119</f>
        <v>2.6394005504473489E-2</v>
      </c>
      <c r="J52" s="843" t="str">
        <f ca="1">IF(AND(G52&lt;IF(Data!$J$150=2,Data!$X$361,IF(Data!$J$150=1,VLOOKUP(F52,Data!$AG$149:$AH$200,2,TRUE),Data!$F$149)),F52&gt;Data!$M$153*Data!$T$149,H52&lt;Data!$E$149,F52&lt;=Data!$T$149*Data!$M$150,Data!AM24&lt;7,I52&lt;=Data!$F$149),"OK","Not OK")</f>
        <v>OK</v>
      </c>
      <c r="K52" s="844">
        <f ca="1">IF(Data!AA141=1,1,0)</f>
        <v>0</v>
      </c>
      <c r="L52" s="841">
        <f ca="1">Data!AM24</f>
        <v>1.1011262500000001</v>
      </c>
      <c r="O52" s="790"/>
      <c r="R52" s="276"/>
      <c r="S52" s="790"/>
    </row>
    <row r="53" spans="2:26" ht="15" customHeight="1">
      <c r="B53" s="846" t="str">
        <f ca="1">IF(J53="OK",Data!X97,"")</f>
        <v>PC40LX004B05-01FC1</v>
      </c>
      <c r="C53" s="847" t="str">
        <f ca="1">IF(AND(J53="OK",$C$47="Hours"),Data!X87,IF(AND(J53="OK",$C$47="Years"),Data!Y87,IF(AND(J53="OK",$C$47="Millions of Cycles"),Data!Z87,"")))</f>
        <v>&gt;50</v>
      </c>
      <c r="D53" s="848">
        <f>Data!V11</f>
        <v>0.10147471839432434</v>
      </c>
      <c r="E53" s="848">
        <f>Data!AN25</f>
        <v>0.12473500000000001</v>
      </c>
      <c r="F53" s="849">
        <f>IF(Data!$E$83=2,Data!$D$90*Data!M11,Data!$L$115*Data!M11)</f>
        <v>12</v>
      </c>
      <c r="G53" s="850">
        <f>Data!AK25</f>
        <v>0.11274968710480482</v>
      </c>
      <c r="H53" s="850">
        <f ca="1">Data!AL25</f>
        <v>0.14851240310480482</v>
      </c>
      <c r="I53" s="850">
        <f ca="1">Data!U120</f>
        <v>1.4697000339548173E-2</v>
      </c>
      <c r="J53" s="850" t="str">
        <f ca="1">IF(AND(G53&lt;IF(Data!$J$150=2,Data!$X$361,IF(Data!$J$150=1,VLOOKUP(F53,Data!$AG$149:$AH$200,2,TRUE),Data!$F$149)),F53&gt;Data!$M$153*Data!$T$149,H53&lt;Data!$E$149,F53&lt;=Data!$T$149*Data!$M$150,Data!AM25&lt;7,I53&lt;=Data!$F$149),"OK","Not OK")</f>
        <v>OK</v>
      </c>
      <c r="K53" s="851">
        <f ca="1">IF(Data!AA142=1,1,0)</f>
        <v>0</v>
      </c>
      <c r="L53" s="848">
        <f ca="1">Data!AM25</f>
        <v>1.7795937500000001</v>
      </c>
      <c r="O53" s="788"/>
      <c r="R53" s="276"/>
      <c r="S53" s="788"/>
    </row>
    <row r="54" spans="2:26">
      <c r="B54" s="839" t="str">
        <f ca="1">IF(J54="OK",Data!X98,"")</f>
        <v>PC40LX004B10-01FC1</v>
      </c>
      <c r="C54" s="840" t="str">
        <f ca="1">IF(AND(J54="OK",$C$47="Hours"),Data!X88,IF(AND(J54="OK",$C$47="Years"),Data!Y88,IF(AND(J54="OK",$C$47="Millions of Cycles"),Data!Z88,"")))</f>
        <v>&gt;50</v>
      </c>
      <c r="D54" s="841">
        <f>Data!V12</f>
        <v>0.2024694367886487</v>
      </c>
      <c r="E54" s="841">
        <f>Data!AN26</f>
        <v>0.12473500000000001</v>
      </c>
      <c r="F54" s="842">
        <f>IF(Data!$E$83=2,Data!$D$90*Data!M12,Data!$L$115*Data!M12)</f>
        <v>6</v>
      </c>
      <c r="G54" s="843">
        <f>Data!AK26</f>
        <v>0.22496604087627634</v>
      </c>
      <c r="H54" s="843">
        <f ca="1">Data!AL26</f>
        <v>0.24284739887627635</v>
      </c>
      <c r="I54" s="843">
        <f ca="1">Data!U121</f>
        <v>2.9307810752180478E-2</v>
      </c>
      <c r="J54" s="843" t="str">
        <f ca="1">IF(AND(G54&lt;IF(Data!$J$150=2,Data!$X$361,IF(Data!$J$150=1,VLOOKUP(F54,Data!$AG$149:$AH$200,2,TRUE),Data!$F$149)),F54&gt;Data!$M$153*Data!$T$149,H54&lt;Data!$E$149,F54&lt;=Data!$T$149*Data!$M$150,Data!AM26&lt;7,I54&lt;=Data!$F$149),"OK","Not OK")</f>
        <v>OK</v>
      </c>
      <c r="K54" s="844">
        <f ca="1">IF(Data!AA143=1,1,0)</f>
        <v>0</v>
      </c>
      <c r="L54" s="841">
        <f ca="1">Data!AM26</f>
        <v>1.7795937500000001</v>
      </c>
      <c r="O54" s="788"/>
      <c r="R54" s="276"/>
      <c r="S54" s="788"/>
    </row>
    <row r="55" spans="2:26">
      <c r="B55" s="846" t="str">
        <f ca="1">IF(J55="OK",Data!X99,"")</f>
        <v>PC40LX004B20-01FC1</v>
      </c>
      <c r="C55" s="847" t="str">
        <f ca="1">IF(AND(J55="OK",$C$47="Hours"),Data!X89,IF(AND(J55="OK",$C$47="Years"),Data!Y89,IF(AND(J55="OK",$C$47="Millions of Cycles"),Data!Z89,"")))</f>
        <v>&gt;50</v>
      </c>
      <c r="D55" s="848">
        <f>Data!V13</f>
        <v>0.30433887357729739</v>
      </c>
      <c r="E55" s="848">
        <f>Data!AN27</f>
        <v>0.12473500000000001</v>
      </c>
      <c r="F55" s="849">
        <f>IF(Data!$E$83=2,Data!$D$90*Data!M13,Data!$L$115*Data!M13)</f>
        <v>3</v>
      </c>
      <c r="G55" s="850">
        <f>Data!AK27</f>
        <v>0.33815430397477486</v>
      </c>
      <c r="H55" s="850">
        <f ca="1">Data!AL27</f>
        <v>0.34709498297477487</v>
      </c>
      <c r="I55" s="850">
        <f ca="1">Data!U122</f>
        <v>4.4048677831558782E-2</v>
      </c>
      <c r="J55" s="850" t="str">
        <f ca="1">IF(AND(G55&lt;IF(Data!$J$150=2,Data!$X$361,IF(Data!$J$150=1,VLOOKUP(F55,Data!$AG$149:$AH$200,2,TRUE),Data!$F$149)),F55&gt;Data!$M$153*Data!$T$149,H55&lt;Data!$E$149,F55&lt;=Data!$T$149*Data!$M$150,Data!AM27&lt;7,I55&lt;=Data!$F$149),"OK","Not OK")</f>
        <v>OK</v>
      </c>
      <c r="K55" s="851">
        <f ca="1">IF(Data!AA144=1,1,0)</f>
        <v>0</v>
      </c>
      <c r="L55" s="848">
        <f ca="1">Data!AM27</f>
        <v>1.7795937500000001</v>
      </c>
      <c r="R55" s="276"/>
    </row>
    <row r="56" spans="2:26" ht="15" customHeight="1">
      <c r="G56" s="790"/>
      <c r="H56" s="790"/>
      <c r="I56" s="790"/>
      <c r="U56" s="59"/>
      <c r="V56" s="21"/>
      <c r="W56" s="21"/>
      <c r="X56" s="21"/>
      <c r="Z56" s="60"/>
    </row>
    <row r="57" spans="2:26" ht="17.25" customHeight="1">
      <c r="B57" s="203" t="s">
        <v>405</v>
      </c>
      <c r="F57" s="276"/>
      <c r="I57" s="203"/>
      <c r="U57" s="21"/>
      <c r="V57" s="21"/>
      <c r="W57" s="21"/>
      <c r="X57" s="21"/>
    </row>
    <row r="58" spans="2:26">
      <c r="B58" s="203" t="s">
        <v>486</v>
      </c>
      <c r="M58" s="61"/>
      <c r="U58" s="59"/>
      <c r="V58" s="21"/>
      <c r="W58" s="21"/>
      <c r="X58" s="21"/>
    </row>
    <row r="59" spans="2:26">
      <c r="B59" s="203" t="s">
        <v>2046</v>
      </c>
      <c r="M59" s="298"/>
      <c r="U59" s="59"/>
      <c r="V59" s="21"/>
      <c r="W59" s="21"/>
      <c r="X59" s="21"/>
    </row>
    <row r="60" spans="2:26">
      <c r="B60" s="867" t="s">
        <v>134</v>
      </c>
      <c r="C60" s="868"/>
      <c r="D60" s="868"/>
      <c r="E60" s="868"/>
      <c r="F60" s="868"/>
      <c r="G60" s="868"/>
      <c r="H60" s="868"/>
      <c r="I60" s="868"/>
      <c r="J60" s="868"/>
      <c r="K60" s="869"/>
      <c r="L60" s="868"/>
      <c r="M60" s="288"/>
    </row>
    <row r="61" spans="2:26">
      <c r="B61" s="868"/>
      <c r="C61" s="868"/>
      <c r="D61" s="868"/>
      <c r="E61" s="868"/>
      <c r="F61" s="868"/>
      <c r="G61" s="868"/>
      <c r="H61" s="868"/>
      <c r="I61" s="868"/>
      <c r="J61" s="868"/>
      <c r="K61" s="869"/>
      <c r="L61" s="868"/>
      <c r="M61" s="288"/>
    </row>
    <row r="62" spans="2:26" ht="16.5" customHeight="1">
      <c r="B62" s="868"/>
      <c r="C62" s="868"/>
      <c r="D62" s="868"/>
      <c r="E62" s="868"/>
      <c r="F62" s="868"/>
      <c r="G62" s="868"/>
      <c r="H62" s="868"/>
      <c r="I62" s="868"/>
      <c r="J62" s="868"/>
      <c r="K62" s="869"/>
      <c r="L62" s="868"/>
      <c r="M62" s="61"/>
      <c r="U62" s="60"/>
    </row>
    <row r="63" spans="2:26" ht="16.5" customHeight="1">
      <c r="B63" s="868"/>
      <c r="C63" s="868"/>
      <c r="D63" s="868"/>
      <c r="E63" s="868"/>
      <c r="F63" s="868"/>
      <c r="G63" s="868"/>
      <c r="H63" s="868"/>
      <c r="I63" s="868"/>
      <c r="J63" s="868"/>
      <c r="K63" s="869"/>
      <c r="L63" s="868"/>
      <c r="M63" s="288"/>
      <c r="U63" s="60"/>
    </row>
    <row r="64" spans="2:26" ht="16.5" customHeight="1">
      <c r="B64" s="868"/>
      <c r="C64" s="868"/>
      <c r="D64" s="868"/>
      <c r="E64" s="868"/>
      <c r="F64" s="868"/>
      <c r="G64" s="868"/>
      <c r="H64" s="868"/>
      <c r="I64" s="868"/>
      <c r="J64" s="868"/>
      <c r="K64" s="869"/>
      <c r="L64" s="868"/>
      <c r="M64" s="372"/>
    </row>
    <row r="65" spans="2:23" ht="16.5" customHeight="1">
      <c r="B65" s="868"/>
      <c r="C65" s="868"/>
      <c r="D65" s="868"/>
      <c r="E65" s="868"/>
      <c r="F65" s="868"/>
      <c r="G65" s="868"/>
      <c r="H65" s="868"/>
      <c r="I65" s="868"/>
      <c r="J65" s="868"/>
      <c r="K65" s="869"/>
      <c r="L65" s="868"/>
    </row>
    <row r="66" spans="2:23" ht="20.25" customHeight="1">
      <c r="B66" s="868"/>
      <c r="C66" s="868"/>
      <c r="D66" s="868"/>
      <c r="E66" s="868"/>
      <c r="F66" s="868"/>
      <c r="G66" s="868"/>
      <c r="H66" s="868"/>
      <c r="I66" s="868"/>
      <c r="J66" s="868"/>
      <c r="K66" s="869"/>
      <c r="L66" s="868"/>
      <c r="U66" s="60"/>
      <c r="V66" s="60"/>
    </row>
    <row r="67" spans="2:23">
      <c r="B67" s="868"/>
      <c r="C67" s="868"/>
      <c r="D67" s="868"/>
      <c r="E67" s="868"/>
      <c r="F67" s="868"/>
      <c r="G67" s="868"/>
      <c r="H67" s="868"/>
      <c r="I67" s="868"/>
      <c r="J67" s="868"/>
      <c r="K67" s="869"/>
      <c r="L67" s="868"/>
      <c r="V67" s="60"/>
      <c r="W67" s="60"/>
    </row>
    <row r="68" spans="2:23" ht="15" customHeight="1">
      <c r="B68" s="868"/>
      <c r="C68" s="868"/>
      <c r="D68" s="868"/>
      <c r="E68" s="868"/>
      <c r="F68" s="868"/>
      <c r="G68" s="868"/>
      <c r="H68" s="868"/>
      <c r="I68" s="868"/>
      <c r="J68" s="868"/>
      <c r="K68" s="869"/>
      <c r="L68" s="868"/>
    </row>
    <row r="69" spans="2:23">
      <c r="B69" s="868"/>
      <c r="C69" s="868"/>
      <c r="D69" s="868"/>
      <c r="E69" s="868"/>
      <c r="F69" s="868"/>
      <c r="G69" s="868"/>
      <c r="H69" s="868"/>
      <c r="I69" s="868"/>
      <c r="J69" s="868"/>
      <c r="K69" s="869"/>
      <c r="L69" s="868"/>
      <c r="P69" s="60"/>
    </row>
    <row r="70" spans="2:23">
      <c r="B70" s="868"/>
      <c r="C70" s="868"/>
      <c r="D70" s="868"/>
      <c r="E70" s="868"/>
      <c r="F70" s="868"/>
      <c r="G70" s="868"/>
      <c r="H70" s="868"/>
      <c r="I70" s="868"/>
      <c r="J70" s="868"/>
      <c r="K70" s="869"/>
      <c r="L70" s="868"/>
    </row>
    <row r="78" spans="2:23" ht="15" customHeight="1"/>
    <row r="80" spans="2:23">
      <c r="P80" s="266"/>
      <c r="Q80" s="266"/>
      <c r="R80" s="266"/>
      <c r="S80" s="266"/>
      <c r="T80" s="266"/>
      <c r="U80" s="266"/>
      <c r="V80" s="266"/>
      <c r="W80" s="266"/>
    </row>
    <row r="81" spans="11:22">
      <c r="U81" s="60"/>
    </row>
    <row r="82" spans="11:22" ht="18" customHeight="1">
      <c r="U82" s="60"/>
    </row>
    <row r="83" spans="11:22" ht="16.5" customHeight="1">
      <c r="V83" s="60"/>
    </row>
    <row r="84" spans="11:22" ht="16.5" customHeight="1">
      <c r="V84" s="60"/>
    </row>
    <row r="86" spans="11:22">
      <c r="U86" s="132"/>
    </row>
    <row r="87" spans="11:22">
      <c r="V87" s="132"/>
    </row>
    <row r="88" spans="11:22" ht="15.75" customHeight="1">
      <c r="V88" s="132"/>
    </row>
    <row r="92" spans="11:22">
      <c r="K92" s="937"/>
    </row>
    <row r="93" spans="11:22">
      <c r="K93" s="937"/>
    </row>
    <row r="94" spans="11:22">
      <c r="K94" s="937"/>
    </row>
    <row r="95" spans="11:22">
      <c r="K95" s="937"/>
    </row>
    <row r="96" spans="11:22">
      <c r="K96" s="937"/>
    </row>
    <row r="97" spans="11:11">
      <c r="K97" s="937"/>
    </row>
    <row r="98" spans="11:11">
      <c r="K98" s="937"/>
    </row>
    <row r="99" spans="11:11">
      <c r="K99" s="937"/>
    </row>
    <row r="100" spans="11:11">
      <c r="K100" s="937"/>
    </row>
    <row r="101" spans="11:11">
      <c r="K101" s="937"/>
    </row>
    <row r="102" spans="11:11">
      <c r="K102" s="937"/>
    </row>
  </sheetData>
  <sheetProtection algorithmName="SHA-512" hashValue="JkKIpBgpDmY4Ivb6pEsz/85vNfnjUXCIa7Muq89txsKEtPcRqBJ0kYaJ1RmbizUPZanUUk0Un2DRdNbqamYAaA==" saltValue="11au5oVrsFDElvlOz/0L7g==" spinCount="100000" sheet="1" objects="1" selectLockedCells="1"/>
  <dataConsolidate>
    <dataRefs count="1">
      <dataRef ref="D21:D24" sheet="Data"/>
    </dataRefs>
  </dataConsolidate>
  <mergeCells count="34">
    <mergeCell ref="E38:G38"/>
    <mergeCell ref="E37:G37"/>
    <mergeCell ref="E39:G39"/>
    <mergeCell ref="C33:D33"/>
    <mergeCell ref="K31:L31"/>
    <mergeCell ref="H31:I31"/>
    <mergeCell ref="C31:D31"/>
    <mergeCell ref="H20:J20"/>
    <mergeCell ref="H14:I14"/>
    <mergeCell ref="D14:G14"/>
    <mergeCell ref="H29:L29"/>
    <mergeCell ref="D15:G15"/>
    <mergeCell ref="C29:F29"/>
    <mergeCell ref="B1:E1"/>
    <mergeCell ref="C7:G7"/>
    <mergeCell ref="C8:G8"/>
    <mergeCell ref="C9:G9"/>
    <mergeCell ref="C10:G10"/>
    <mergeCell ref="D13:E13"/>
    <mergeCell ref="J48:K48"/>
    <mergeCell ref="N33:N41"/>
    <mergeCell ref="C12:F12"/>
    <mergeCell ref="H21:I21"/>
    <mergeCell ref="J46:K46"/>
    <mergeCell ref="J47:K47"/>
    <mergeCell ref="E36:G36"/>
    <mergeCell ref="C32:D32"/>
    <mergeCell ref="C34:D34"/>
    <mergeCell ref="K45:L45"/>
    <mergeCell ref="B45:E45"/>
    <mergeCell ref="F45:J45"/>
    <mergeCell ref="H15:I15"/>
    <mergeCell ref="I12:L12"/>
    <mergeCell ref="C47:C48"/>
  </mergeCells>
  <conditionalFormatting sqref="C26">
    <cfRule type="cellIs" dxfId="96" priority="219" operator="greaterThan">
      <formula>10</formula>
    </cfRule>
    <cfRule type="cellIs" dxfId="95" priority="220" operator="greaterThan">
      <formula>110</formula>
    </cfRule>
    <cfRule type="cellIs" dxfId="94" priority="221" operator="lessThan">
      <formula>5</formula>
    </cfRule>
  </conditionalFormatting>
  <conditionalFormatting sqref="C25">
    <cfRule type="cellIs" dxfId="93" priority="212" operator="greaterThan">
      <formula>10</formula>
    </cfRule>
    <cfRule type="cellIs" dxfId="92" priority="213" operator="greaterThan">
      <formula>110</formula>
    </cfRule>
    <cfRule type="cellIs" dxfId="91" priority="214" operator="lessThan">
      <formula>5</formula>
    </cfRule>
  </conditionalFormatting>
  <conditionalFormatting sqref="D37:D40">
    <cfRule type="cellIs" dxfId="90" priority="209" operator="greaterThan">
      <formula>10</formula>
    </cfRule>
    <cfRule type="cellIs" dxfId="89" priority="210" operator="greaterThan">
      <formula>110</formula>
    </cfRule>
    <cfRule type="cellIs" dxfId="88" priority="211" operator="lessThan">
      <formula>5</formula>
    </cfRule>
  </conditionalFormatting>
  <conditionalFormatting sqref="B22">
    <cfRule type="expression" dxfId="87" priority="119">
      <formula>$B$22="Not Possible"</formula>
    </cfRule>
  </conditionalFormatting>
  <conditionalFormatting sqref="B23">
    <cfRule type="expression" dxfId="86" priority="118">
      <formula>$B$23="Not Possible"</formula>
    </cfRule>
  </conditionalFormatting>
  <conditionalFormatting sqref="B24">
    <cfRule type="expression" dxfId="85" priority="117">
      <formula>$B$24="Not Possible"</formula>
    </cfRule>
  </conditionalFormatting>
  <conditionalFormatting sqref="B6">
    <cfRule type="cellIs" dxfId="84" priority="114" operator="greaterThan">
      <formula>10</formula>
    </cfRule>
    <cfRule type="cellIs" dxfId="83" priority="115" operator="greaterThan">
      <formula>110</formula>
    </cfRule>
    <cfRule type="cellIs" dxfId="82" priority="116" operator="lessThan">
      <formula>5</formula>
    </cfRule>
  </conditionalFormatting>
  <conditionalFormatting sqref="B49">
    <cfRule type="expression" dxfId="81" priority="30">
      <formula>LEFT($B$49,1)="M"</formula>
    </cfRule>
  </conditionalFormatting>
  <conditionalFormatting sqref="B50">
    <cfRule type="expression" dxfId="80" priority="7">
      <formula>LEFT($B$50,1)="M"</formula>
    </cfRule>
  </conditionalFormatting>
  <conditionalFormatting sqref="B51">
    <cfRule type="expression" dxfId="79" priority="108">
      <formula>LEFT($B$51,1)="M"</formula>
    </cfRule>
  </conditionalFormatting>
  <conditionalFormatting sqref="B52">
    <cfRule type="expression" dxfId="78" priority="107">
      <formula>LEFT($B$52,1)="M"</formula>
    </cfRule>
  </conditionalFormatting>
  <conditionalFormatting sqref="L15">
    <cfRule type="expression" dxfId="77" priority="102">
      <formula>$L$15="-"</formula>
    </cfRule>
  </conditionalFormatting>
  <conditionalFormatting sqref="L14">
    <cfRule type="expression" dxfId="76" priority="97">
      <formula>$L$14="Please reselect"</formula>
    </cfRule>
  </conditionalFormatting>
  <conditionalFormatting sqref="E31">
    <cfRule type="expression" dxfId="75" priority="96">
      <formula>$E$31="Please reselect"</formula>
    </cfRule>
  </conditionalFormatting>
  <conditionalFormatting sqref="B33 B31">
    <cfRule type="expression" dxfId="74" priority="95">
      <formula>$B$33="Please reselect"</formula>
    </cfRule>
  </conditionalFormatting>
  <conditionalFormatting sqref="C33">
    <cfRule type="expression" dxfId="73" priority="94">
      <formula>$C$33="Please reselect"</formula>
    </cfRule>
  </conditionalFormatting>
  <conditionalFormatting sqref="B18">
    <cfRule type="expression" dxfId="72" priority="82">
      <formula>$A$18&lt;&gt;0</formula>
    </cfRule>
  </conditionalFormatting>
  <conditionalFormatting sqref="C27">
    <cfRule type="dataBar" priority="4">
      <dataBar>
        <cfvo type="num" val="0"/>
        <cfvo type="num" val="1"/>
        <color theme="4" tint="0.79998168889431442"/>
      </dataBar>
      <extLst>
        <ext xmlns:x14="http://schemas.microsoft.com/office/spreadsheetml/2009/9/main" uri="{B025F937-C7B1-47D3-B67F-A62EFF666E3E}">
          <x14:id>{C4D6C7B3-E432-441E-9F7C-A1CE69833228}</x14:id>
        </ext>
      </extLst>
    </cfRule>
    <cfRule type="expression" dxfId="71" priority="66">
      <formula>$C$27&gt;100%</formula>
    </cfRule>
  </conditionalFormatting>
  <conditionalFormatting sqref="L49">
    <cfRule type="expression" dxfId="70" priority="43">
      <formula>$L$49&gt;7</formula>
    </cfRule>
  </conditionalFormatting>
  <conditionalFormatting sqref="L50">
    <cfRule type="expression" dxfId="69" priority="42">
      <formula>$L$50&gt;7</formula>
    </cfRule>
  </conditionalFormatting>
  <conditionalFormatting sqref="L51">
    <cfRule type="expression" dxfId="68" priority="41">
      <formula>$L$51&gt;7</formula>
    </cfRule>
  </conditionalFormatting>
  <conditionalFormatting sqref="L52">
    <cfRule type="expression" dxfId="67" priority="40">
      <formula>$L$52&gt;7</formula>
    </cfRule>
  </conditionalFormatting>
  <conditionalFormatting sqref="L53">
    <cfRule type="expression" dxfId="66" priority="357">
      <formula>$L$53&gt;7</formula>
    </cfRule>
  </conditionalFormatting>
  <conditionalFormatting sqref="L54">
    <cfRule type="expression" dxfId="65" priority="78">
      <formula>$L$54&gt;7</formula>
    </cfRule>
  </conditionalFormatting>
  <conditionalFormatting sqref="L55">
    <cfRule type="expression" dxfId="64" priority="76">
      <formula>$L$55&gt;7</formula>
    </cfRule>
  </conditionalFormatting>
  <conditionalFormatting sqref="F49">
    <cfRule type="expression" dxfId="63" priority="37">
      <formula>$F$49&gt;$D$42</formula>
    </cfRule>
  </conditionalFormatting>
  <conditionalFormatting sqref="F50">
    <cfRule type="expression" dxfId="62" priority="29">
      <formula>$F$50&gt;$D$42</formula>
    </cfRule>
  </conditionalFormatting>
  <conditionalFormatting sqref="F51">
    <cfRule type="expression" dxfId="61" priority="28">
      <formula>$F$51&gt;$D$42</formula>
    </cfRule>
  </conditionalFormatting>
  <conditionalFormatting sqref="F52">
    <cfRule type="expression" dxfId="60" priority="27">
      <formula>$F$52&gt;$D$42</formula>
    </cfRule>
  </conditionalFormatting>
  <conditionalFormatting sqref="F53">
    <cfRule type="expression" dxfId="59" priority="26">
      <formula>$F$53&gt;$D$42</formula>
    </cfRule>
  </conditionalFormatting>
  <conditionalFormatting sqref="F54">
    <cfRule type="expression" dxfId="58" priority="25">
      <formula>$F$54&gt;$D$42</formula>
    </cfRule>
  </conditionalFormatting>
  <conditionalFormatting sqref="F55">
    <cfRule type="expression" dxfId="57" priority="24">
      <formula>$F$55&gt;$D$42</formula>
    </cfRule>
  </conditionalFormatting>
  <conditionalFormatting sqref="L22">
    <cfRule type="expression" dxfId="56" priority="22">
      <formula>$H$21&lt;&gt;"micron gear"</formula>
    </cfRule>
  </conditionalFormatting>
  <conditionalFormatting sqref="B17">
    <cfRule type="expression" dxfId="55" priority="14">
      <formula>$A$17&lt;&gt;0</formula>
    </cfRule>
  </conditionalFormatting>
  <conditionalFormatting sqref="B14">
    <cfRule type="expression" dxfId="54" priority="13">
      <formula>$A$14&lt;&gt;0</formula>
    </cfRule>
  </conditionalFormatting>
  <conditionalFormatting sqref="C49:C55">
    <cfRule type="expression" dxfId="53" priority="377">
      <formula>$C$47="Millions of cycles"</formula>
    </cfRule>
    <cfRule type="expression" dxfId="52" priority="378">
      <formula>$C$47="Years"</formula>
    </cfRule>
    <cfRule type="expression" dxfId="51" priority="379">
      <formula>$C$47="Hours"</formula>
    </cfRule>
  </conditionalFormatting>
  <conditionalFormatting sqref="B49:L49 B51:L51 B53:L53 B55:L55">
    <cfRule type="expression" dxfId="50" priority="38">
      <formula>$C$27&gt;100%</formula>
    </cfRule>
  </conditionalFormatting>
  <conditionalFormatting sqref="B50:L50 B52:L52 B54:L54">
    <cfRule type="expression" dxfId="49" priority="81">
      <formula>$C$27&gt;100%</formula>
    </cfRule>
  </conditionalFormatting>
  <hyperlinks>
    <hyperlink ref="E38:G38" r:id="rId1" tooltip="Click to download RediMount ID tool from thomsonlinear.com" display="RediMount ID**"/>
  </hyperlinks>
  <pageMargins left="0.43307086614173229" right="0.23622047244094491" top="0.55118110236220474" bottom="0.55118110236220474" header="0.31496062992125984" footer="0.11811023622047245"/>
  <pageSetup paperSize="9" orientation="portrait" r:id="rId2"/>
  <customProperties>
    <customPr name="workbookAdvencedSettings" r:id="rId3"/>
    <customPr name="workbookExecutionSettings" r:id="rId4"/>
    <customPr name="workbookGatewaySettings" r:id="rId5"/>
  </customProperties>
  <drawing r:id="rId6"/>
  <legacyDrawing r:id="rId7"/>
  <extLst>
    <ext xmlns:x14="http://schemas.microsoft.com/office/spreadsheetml/2009/9/main" uri="{78C0D931-6437-407d-A8EE-F0AAD7539E65}">
      <x14:conditionalFormattings>
        <x14:conditionalFormatting xmlns:xm="http://schemas.microsoft.com/office/excel/2006/main">
          <x14:cfRule type="dataBar" id="{C4D6C7B3-E432-441E-9F7C-A1CE69833228}">
            <x14:dataBar minLength="0" maxLength="100" border="1" gradient="0" negativeBarColorSameAsPositive="1">
              <x14:cfvo type="num">
                <xm:f>0</xm:f>
              </x14:cfvo>
              <x14:cfvo type="num">
                <xm:f>1</xm:f>
              </x14:cfvo>
              <x14:borderColor theme="4" tint="0.79998168889431442"/>
              <x14:axisColor rgb="FF000000"/>
            </x14:dataBar>
          </x14:cfRule>
          <xm:sqref>C27</xm:sqref>
        </x14:conditionalFormatting>
        <x14:conditionalFormatting xmlns:xm="http://schemas.microsoft.com/office/excel/2006/main">
          <x14:cfRule type="expression" priority="177" id="{87A0391C-65F9-44DF-95E6-1EEA27EFE665}">
            <xm:f>Data!$AF$11&gt;0</xm:f>
            <x14:dxf>
              <font>
                <color theme="0" tint="-4.9989318521683403E-2"/>
              </font>
            </x14:dxf>
          </x14:cfRule>
          <xm:sqref>J53</xm:sqref>
        </x14:conditionalFormatting>
        <x14:conditionalFormatting xmlns:xm="http://schemas.microsoft.com/office/excel/2006/main">
          <x14:cfRule type="expression" priority="170" id="{27080274-2D3E-48C1-9A52-523959838D57}">
            <xm:f>Data!$AF$11&gt;0</xm:f>
            <x14:dxf>
              <font>
                <color theme="0" tint="-4.9989318521683403E-2"/>
              </font>
            </x14:dxf>
          </x14:cfRule>
          <xm:sqref>K53</xm:sqref>
        </x14:conditionalFormatting>
        <x14:conditionalFormatting xmlns:xm="http://schemas.microsoft.com/office/excel/2006/main">
          <x14:cfRule type="expression" priority="39" id="{CD2002EF-3B4E-48DE-9906-835F4AB770A9}">
            <xm:f>Data!$AF$7&gt;0</xm:f>
            <x14:dxf>
              <font>
                <color theme="4" tint="0.79998168889431442"/>
              </font>
            </x14:dxf>
          </x14:cfRule>
          <xm:sqref>B49:L49</xm:sqref>
        </x14:conditionalFormatting>
        <x14:conditionalFormatting xmlns:xm="http://schemas.microsoft.com/office/excel/2006/main">
          <x14:cfRule type="expression" priority="98" id="{C86B7687-38CB-4D90-B569-75FEC121033E}">
            <xm:f>Data!$AF$8&gt;0</xm:f>
            <x14:dxf>
              <font>
                <color theme="0"/>
              </font>
            </x14:dxf>
          </x14:cfRule>
          <xm:sqref>B50:L50</xm:sqref>
        </x14:conditionalFormatting>
        <x14:conditionalFormatting xmlns:xm="http://schemas.microsoft.com/office/excel/2006/main">
          <x14:cfRule type="expression" priority="80" id="{A3696932-B9E1-47E8-BDCD-E1018FA65526}">
            <xm:f>Data!$AF$9&gt;0</xm:f>
            <x14:dxf>
              <font>
                <color theme="4" tint="0.79998168889431442"/>
              </font>
            </x14:dxf>
          </x14:cfRule>
          <xm:sqref>B51:L51</xm:sqref>
        </x14:conditionalFormatting>
        <x14:conditionalFormatting xmlns:xm="http://schemas.microsoft.com/office/excel/2006/main">
          <x14:cfRule type="expression" priority="79" id="{6A790F21-18DE-4395-88DA-71E5708A963A}">
            <xm:f>Data!$AF$10&gt;0</xm:f>
            <x14:dxf>
              <font>
                <color theme="0"/>
              </font>
            </x14:dxf>
          </x14:cfRule>
          <xm:sqref>B52:L52</xm:sqref>
        </x14:conditionalFormatting>
        <x14:conditionalFormatting xmlns:xm="http://schemas.microsoft.com/office/excel/2006/main">
          <x14:cfRule type="expression" priority="373" id="{353779FB-7D1C-4A33-A4D6-CAAED1FFBF48}">
            <xm:f>Data!$AF$11&gt;0</xm:f>
            <x14:dxf>
              <font>
                <color theme="4" tint="0.79998168889431442"/>
              </font>
            </x14:dxf>
          </x14:cfRule>
          <xm:sqref>B53:L53</xm:sqref>
        </x14:conditionalFormatting>
        <x14:conditionalFormatting xmlns:xm="http://schemas.microsoft.com/office/excel/2006/main">
          <x14:cfRule type="expression" priority="356" id="{951C59C7-5D89-44FA-934A-396A0CCD14EA}">
            <xm:f>Data!$AF$12&gt;0</xm:f>
            <x14:dxf>
              <font>
                <color theme="0"/>
              </font>
            </x14:dxf>
          </x14:cfRule>
          <xm:sqref>B54:L54</xm:sqref>
        </x14:conditionalFormatting>
        <x14:conditionalFormatting xmlns:xm="http://schemas.microsoft.com/office/excel/2006/main">
          <x14:cfRule type="expression" priority="77" id="{5246FED8-B31C-4BDE-AE7C-CA51D158FFF0}">
            <xm:f>Data!$AF$13&gt;0</xm:f>
            <x14:dxf>
              <font>
                <color theme="4" tint="0.79998168889431442"/>
              </font>
            </x14:dxf>
          </x14:cfRule>
          <xm:sqref>B55:L55</xm:sqref>
        </x14:conditionalFormatting>
        <x14:conditionalFormatting xmlns:xm="http://schemas.microsoft.com/office/excel/2006/main">
          <x14:cfRule type="expression" priority="347" id="{E2B7CAEE-6347-4EAB-847B-AD4F9E8DCB26}">
            <xm:f>Data!$E$83=3</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H22:I27</xm:sqref>
        </x14:conditionalFormatting>
        <x14:conditionalFormatting xmlns:xm="http://schemas.microsoft.com/office/excel/2006/main">
          <x14:cfRule type="expression" priority="348" id="{F54B0A0F-D117-451F-8A7B-CFA3E109834C}">
            <xm:f>Data!$E$83=2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H24:I27</xm:sqref>
        </x14:conditionalFormatting>
        <x14:conditionalFormatting xmlns:xm="http://schemas.microsoft.com/office/excel/2006/main">
          <x14:cfRule type="expression" priority="350" id="{30917A41-5EB5-4407-AC2B-0380C6F278C6}">
            <xm:f>Data!$C$59=3</xm:f>
            <x14:dxf>
              <font>
                <color theme="0"/>
              </font>
              <fill>
                <patternFill>
                  <bgColor theme="0"/>
                </patternFill>
              </fill>
              <border>
                <left style="thin">
                  <color theme="0"/>
                </left>
                <right style="thin">
                  <color theme="0"/>
                </right>
                <top style="thin">
                  <color theme="0"/>
                </top>
                <bottom style="thin">
                  <color theme="0"/>
                </bottom>
              </border>
            </x14:dxf>
          </x14:cfRule>
          <x14:cfRule type="expression" priority="351" id="{2716B435-AD4C-496D-88BB-D37CC2F24FE0}">
            <xm:f>Data!$E$83=1</xm:f>
            <x14:dxf>
              <font>
                <color theme="0"/>
              </font>
              <fill>
                <patternFill patternType="none">
                  <bgColor auto="1"/>
                </patternFill>
              </fill>
              <border>
                <left style="thin">
                  <color theme="0"/>
                </left>
                <right style="thin">
                  <color theme="0"/>
                </right>
                <top style="thin">
                  <color theme="0"/>
                </top>
                <bottom style="thin">
                  <color theme="0"/>
                </bottom>
              </border>
            </x14:dxf>
          </x14:cfRule>
          <xm:sqref>H22:I23</xm:sqref>
        </x14:conditionalFormatting>
        <x14:conditionalFormatting xmlns:xm="http://schemas.microsoft.com/office/excel/2006/main">
          <x14:cfRule type="expression" priority="109" id="{3A04313F-477B-4417-AF55-37CAE806D8B7}">
            <xm:f>Data!$C$141=1</xm:f>
            <x14:dxf>
              <font>
                <color theme="0"/>
              </font>
            </x14:dxf>
          </x14:cfRule>
          <x14:cfRule type="expression" priority="110" id="{BA4F4367-CFE9-44E7-9A51-203FF9BE4FC2}">
            <xm:f>Data!$C$143=1</xm:f>
            <x14:dxf>
              <font>
                <color theme="0"/>
              </font>
            </x14:dxf>
          </x14:cfRule>
          <xm:sqref>B49:L55</xm:sqref>
        </x14:conditionalFormatting>
        <x14:conditionalFormatting xmlns:xm="http://schemas.microsoft.com/office/excel/2006/main">
          <x14:cfRule type="expression" priority="358" id="{85782D53-6B92-4BD6-8F06-01C5FB2EF118}">
            <xm:f>Data!$J$150&lt;=3</xm:f>
            <x14:dxf>
              <font>
                <color theme="0"/>
              </font>
              <fill>
                <patternFill patternType="none">
                  <bgColor auto="1"/>
                </patternFill>
              </fill>
            </x14:dxf>
          </x14:cfRule>
          <xm:sqref>C37:C43</xm:sqref>
        </x14:conditionalFormatting>
        <x14:conditionalFormatting xmlns:xm="http://schemas.microsoft.com/office/excel/2006/main">
          <x14:cfRule type="expression" priority="361" id="{1F4DCE74-4DBC-463D-A899-4E4F69E56702}">
            <xm:f>Data!$J$150=2</xm:f>
            <x14:dxf>
              <font>
                <color theme="0"/>
              </font>
              <fill>
                <patternFill>
                  <bgColor theme="0"/>
                </patternFill>
              </fill>
            </x14:dxf>
          </x14:cfRule>
          <xm:sqref>D39</xm:sqref>
        </x14:conditionalFormatting>
        <x14:conditionalFormatting xmlns:xm="http://schemas.microsoft.com/office/excel/2006/main">
          <x14:cfRule type="expression" priority="362" id="{25E51C37-FAD7-44C9-A257-4AF6DBB2FEE4}">
            <xm:f>Data!$J$150&gt;2</xm:f>
            <x14:dxf>
              <font>
                <color theme="0"/>
              </font>
              <fill>
                <patternFill patternType="none">
                  <bgColor auto="1"/>
                </patternFill>
              </fill>
              <border>
                <left/>
                <right/>
                <top/>
                <bottom/>
                <vertical/>
                <horizontal/>
              </border>
            </x14:dxf>
          </x14:cfRule>
          <xm:sqref>B33:C34</xm:sqref>
        </x14:conditionalFormatting>
        <x14:conditionalFormatting xmlns:xm="http://schemas.microsoft.com/office/excel/2006/main">
          <x14:cfRule type="expression" priority="364" id="{5879AF12-8E14-4266-8E95-EFC807570518}">
            <xm:f>Data!$J$150&gt;2</xm:f>
            <x14:dxf>
              <font>
                <color theme="0"/>
              </font>
              <fill>
                <patternFill patternType="none">
                  <bgColor auto="1"/>
                </patternFill>
              </fill>
              <border>
                <left/>
                <right/>
                <top/>
                <bottom/>
              </border>
            </x14:dxf>
          </x14:cfRule>
          <xm:sqref>C31:C32</xm:sqref>
        </x14:conditionalFormatting>
        <x14:conditionalFormatting xmlns:xm="http://schemas.microsoft.com/office/excel/2006/main">
          <x14:cfRule type="expression" priority="365" id="{917CD6C5-00CF-402B-81B3-CDBD2F8ED7D5}">
            <xm:f>Data!$J$150=4</xm:f>
            <x14:dxf>
              <font>
                <color theme="0"/>
              </font>
              <fill>
                <patternFill patternType="none">
                  <fgColor indexed="64"/>
                  <bgColor auto="1"/>
                </patternFill>
              </fill>
              <border>
                <left/>
                <right/>
                <top/>
                <bottom/>
                <vertical/>
                <horizontal/>
              </border>
            </x14:dxf>
          </x14:cfRule>
          <xm:sqref>E31:E32</xm:sqref>
        </x14:conditionalFormatting>
        <x14:conditionalFormatting xmlns:xm="http://schemas.microsoft.com/office/excel/2006/main">
          <x14:cfRule type="expression" priority="366" id="{23D61AA1-4C91-4FB0-91BC-6F5FDBA98946}">
            <xm:f>Data!$J$150=4</xm:f>
            <x14:dxf>
              <font>
                <color theme="0"/>
              </font>
              <fill>
                <patternFill patternType="solid">
                  <fgColor theme="0"/>
                  <bgColor theme="0"/>
                </patternFill>
              </fill>
              <border>
                <left/>
                <right/>
                <top/>
                <bottom/>
                <vertical/>
                <horizontal/>
              </border>
            </x14:dxf>
          </x14:cfRule>
          <xm:sqref>D37:D42</xm:sqref>
        </x14:conditionalFormatting>
        <x14:conditionalFormatting xmlns:xm="http://schemas.microsoft.com/office/excel/2006/main">
          <x14:cfRule type="expression" priority="367" id="{400E0A7A-3F15-4B72-9F03-C6700003D67B}">
            <xm:f>Data!$J$150&lt;&gt;4</xm:f>
            <x14:dxf>
              <font>
                <color theme="0"/>
              </font>
              <border>
                <left style="thin">
                  <color theme="0"/>
                </left>
                <right style="thin">
                  <color theme="0"/>
                </right>
                <top style="thin">
                  <color theme="0"/>
                </top>
                <bottom style="thin">
                  <color theme="0"/>
                </bottom>
                <vertical/>
                <horizontal/>
              </border>
            </x14:dxf>
          </x14:cfRule>
          <xm:sqref>C37:C41</xm:sqref>
        </x14:conditionalFormatting>
        <x14:conditionalFormatting xmlns:xm="http://schemas.microsoft.com/office/excel/2006/main">
          <x14:cfRule type="expression" priority="368" id="{DF7B8A17-ADC1-4FEA-8BF3-C1E2FC1546FE}">
            <xm:f>Data!$B$141=1</xm:f>
            <x14:dxf>
              <fill>
                <patternFill>
                  <bgColor rgb="FFFF0000"/>
                </patternFill>
              </fill>
            </x14:dxf>
          </x14:cfRule>
          <xm:sqref>L15</xm:sqref>
        </x14:conditionalFormatting>
        <x14:conditionalFormatting xmlns:xm="http://schemas.microsoft.com/office/excel/2006/main">
          <x14:cfRule type="expression" priority="369" id="{65D88D6B-A9E4-439F-8D4C-0208AC1C6002}">
            <xm:f>Data!$C$141=1</xm:f>
            <x14:dxf>
              <fill>
                <patternFill>
                  <bgColor rgb="FFFF0000"/>
                </patternFill>
              </fill>
            </x14:dxf>
          </x14:cfRule>
          <x14:cfRule type="expression" priority="370" id="{1A44C9A9-386A-4AC7-9025-0864453CF97D}">
            <xm:f>Data!$C$143=1</xm:f>
            <x14:dxf>
              <font>
                <color auto="1"/>
              </font>
              <fill>
                <patternFill>
                  <bgColor rgb="FFFF0000"/>
                </patternFill>
              </fill>
            </x14:dxf>
          </x14:cfRule>
          <xm:sqref>E32</xm:sqref>
        </x14:conditionalFormatting>
        <x14:conditionalFormatting xmlns:xm="http://schemas.microsoft.com/office/excel/2006/main">
          <x14:cfRule type="expression" priority="371" id="{5ED25B91-CC09-4F3A-8768-9A2E982103FE}">
            <xm:f>Data!$D$141=1</xm:f>
            <x14:dxf>
              <fill>
                <patternFill>
                  <bgColor rgb="FFFF0000"/>
                </patternFill>
              </fill>
            </x14:dxf>
          </x14:cfRule>
          <xm:sqref>B34</xm:sqref>
        </x14:conditionalFormatting>
        <x14:conditionalFormatting xmlns:xm="http://schemas.microsoft.com/office/excel/2006/main">
          <x14:cfRule type="expression" priority="372" id="{43F841C1-EEF8-4BD4-BD6C-39BA48EF1F02}">
            <xm:f>Data!$E$141=1</xm:f>
            <x14:dxf>
              <fill>
                <patternFill>
                  <bgColor rgb="FFFF0000"/>
                </patternFill>
              </fill>
            </x14:dxf>
          </x14:cfRule>
          <xm:sqref>C34</xm:sqref>
        </x14:conditionalFormatting>
        <x14:conditionalFormatting xmlns:xm="http://schemas.microsoft.com/office/excel/2006/main">
          <x14:cfRule type="expression" priority="376" id="{66CB7E2B-904F-4F25-A75B-175E4D99D5E8}">
            <xm:f>Data!$F$141&lt;&gt;0</xm:f>
            <x14:dxf>
              <font>
                <color theme="0"/>
              </font>
              <fill>
                <patternFill>
                  <bgColor theme="0"/>
                </patternFill>
              </fill>
            </x14:dxf>
          </x14:cfRule>
          <xm:sqref>B49:L55</xm:sqref>
        </x14:conditionalFormatting>
        <x14:conditionalFormatting xmlns:xm="http://schemas.microsoft.com/office/excel/2006/main">
          <x14:cfRule type="expression" priority="374" id="{67E12288-4806-4DFA-B46B-27A162753177}">
            <xm:f>Data!$D$143&gt;0</xm:f>
            <x14:dxf>
              <fill>
                <patternFill>
                  <bgColor rgb="FFFF0000"/>
                </patternFill>
              </fill>
            </x14:dxf>
          </x14:cfRule>
          <xm:sqref>C32</xm:sqref>
        </x14:conditionalFormatting>
        <x14:conditionalFormatting xmlns:xm="http://schemas.microsoft.com/office/excel/2006/main">
          <x14:cfRule type="expression" priority="21" id="{364FEA7D-D061-4A73-B58E-EBA0FEE8E44F}">
            <xm:f>Data!$J$150&lt;&gt;1</xm:f>
            <x14:dxf>
              <font>
                <color theme="0"/>
              </font>
              <fill>
                <patternFill>
                  <bgColor theme="0"/>
                </patternFill>
              </fill>
              <border>
                <left style="thin">
                  <color theme="0"/>
                </left>
                <right style="thin">
                  <color theme="0"/>
                </right>
                <top style="thin">
                  <color theme="0"/>
                </top>
                <bottom style="thin">
                  <color theme="0"/>
                </bottom>
                <vertical/>
                <horizontal/>
              </border>
            </x14:dxf>
          </x14:cfRule>
          <xm:sqref>B42:D42</xm:sqref>
        </x14:conditionalFormatting>
        <x14:conditionalFormatting xmlns:xm="http://schemas.microsoft.com/office/excel/2006/main">
          <x14:cfRule type="expression" priority="20" id="{56A6C743-CFA3-48D9-8220-B9EF26170ED3}">
            <xm:f>Data!$J$150&lt;&gt;1</xm:f>
            <x14:dxf>
              <font>
                <color theme="0"/>
              </font>
              <fill>
                <patternFill>
                  <bgColor theme="0"/>
                </patternFill>
              </fill>
            </x14:dxf>
          </x14:cfRule>
          <xm:sqref>H31:L43</xm:sqref>
        </x14:conditionalFormatting>
        <x14:conditionalFormatting xmlns:xm="http://schemas.microsoft.com/office/excel/2006/main">
          <x14:cfRule type="expression" priority="19" id="{701B688F-045A-47EE-BE65-D94A69347B31}">
            <xm:f>Data!$J$150=4</xm:f>
            <x14:dxf>
              <font>
                <color theme="0"/>
              </font>
              <fill>
                <patternFill>
                  <bgColor theme="0"/>
                </patternFill>
              </fill>
              <border>
                <right/>
                <vertical/>
                <horizontal/>
              </border>
            </x14:dxf>
          </x14:cfRule>
          <xm:sqref>E36:G37</xm:sqref>
        </x14:conditionalFormatting>
        <x14:conditionalFormatting xmlns:xm="http://schemas.microsoft.com/office/excel/2006/main">
          <x14:cfRule type="iconSet" priority="18" id="{696FA055-FD61-4F39-A058-AF13A7F22F5A}">
            <x14:iconSet iconSet="3Symbols" custom="1">
              <x14:cfvo type="percent">
                <xm:f>0</xm:f>
              </x14:cfvo>
              <x14:cfvo type="num">
                <xm:f>0</xm:f>
              </x14:cfvo>
              <x14:cfvo type="num">
                <xm:f>1</xm:f>
              </x14:cfvo>
              <x14:cfIcon iconSet="NoIcons" iconId="0"/>
              <x14:cfIcon iconSet="3Symbols2" iconId="2"/>
              <x14:cfIcon iconSet="3Symbols2" iconId="0"/>
            </x14:iconSet>
          </x14:cfRule>
          <xm:sqref>A14</xm:sqref>
        </x14:conditionalFormatting>
        <x14:conditionalFormatting xmlns:xm="http://schemas.microsoft.com/office/excel/2006/main">
          <x14:cfRule type="iconSet" priority="15" id="{F29C946B-3ABF-4797-AB9D-90F8836100F5}">
            <x14:iconSet iconSet="3Symbols" custom="1">
              <x14:cfvo type="percent">
                <xm:f>0</xm:f>
              </x14:cfvo>
              <x14:cfvo type="num">
                <xm:f>0</xm:f>
              </x14:cfvo>
              <x14:cfvo type="num">
                <xm:f>1</xm:f>
              </x14:cfvo>
              <x14:cfIcon iconSet="NoIcons" iconId="0"/>
              <x14:cfIcon iconSet="3Symbols2" iconId="2"/>
              <x14:cfIcon iconSet="3Symbols2" iconId="0"/>
            </x14:iconSet>
          </x14:cfRule>
          <xm:sqref>A17:A18</xm:sqref>
        </x14:conditionalFormatting>
        <x14:conditionalFormatting xmlns:xm="http://schemas.microsoft.com/office/excel/2006/main">
          <x14:cfRule type="iconSet" priority="6" id="{4252BF57-861D-4C23-8A99-3F2F5191B3A9}">
            <x14:iconSet iconSet="3Symbols" custom="1">
              <x14:cfvo type="percent">
                <xm:f>0</xm:f>
              </x14:cfvo>
              <x14:cfvo type="num">
                <xm:f>0</xm:f>
              </x14:cfvo>
              <x14:cfvo type="num">
                <xm:f>1</xm:f>
              </x14:cfvo>
              <x14:cfIcon iconSet="NoIcons" iconId="0"/>
              <x14:cfIcon iconSet="3Symbols2" iconId="2"/>
              <x14:cfIcon iconSet="3Symbols2" iconId="0"/>
            </x14:iconSet>
          </x14:cfRule>
          <xm:sqref>A19</xm:sqref>
        </x14:conditionalFormatting>
        <x14:conditionalFormatting xmlns:xm="http://schemas.microsoft.com/office/excel/2006/main">
          <x14:cfRule type="iconSet" priority="5" id="{AD4C85BF-EC53-4D17-8BA0-AD59F316E15F}">
            <x14:iconSet iconSet="3Symbols" custom="1">
              <x14:cfvo type="percent">
                <xm:f>0</xm:f>
              </x14:cfvo>
              <x14:cfvo type="num">
                <xm:f>0</xm:f>
              </x14:cfvo>
              <x14:cfvo type="num">
                <xm:f>1</xm:f>
              </x14:cfvo>
              <x14:cfIcon iconSet="NoIcons" iconId="0"/>
              <x14:cfIcon iconSet="3Symbols2" iconId="2"/>
              <x14:cfIcon iconSet="3Symbols2" iconId="0"/>
            </x14:iconSet>
          </x14:cfRule>
          <xm:sqref>A20</xm:sqref>
        </x14:conditionalFormatting>
        <x14:conditionalFormatting xmlns:xm="http://schemas.microsoft.com/office/excel/2006/main">
          <x14:cfRule type="iconSet" priority="1" id="{D918A803-3E90-4AB0-AB89-97D0A305A6D1}">
            <x14:iconSet iconSet="3Symbols2" custom="1">
              <x14:cfvo type="percent">
                <xm:f>0</xm:f>
              </x14:cfvo>
              <x14:cfvo type="num">
                <xm:f>0</xm:f>
              </x14:cfvo>
              <x14:cfvo type="num">
                <xm:f>1</xm:f>
              </x14:cfvo>
              <x14:cfIcon iconSet="NoIcons" iconId="0"/>
              <x14:cfIcon iconSet="3Symbols2" iconId="2"/>
              <x14:cfIcon iconSet="3Symbols2" iconId="0"/>
            </x14:iconSet>
          </x14:cfRule>
          <xm:sqref>K49:K55</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14:formula1>
            <xm:f>Data!$M$39:$M$40</xm:f>
          </x14:formula1>
          <xm:sqref>C15</xm:sqref>
        </x14:dataValidation>
        <x14:dataValidation type="list" allowBlank="1" showInputMessage="1" showErrorMessage="1">
          <x14:formula1>
            <xm:f>Data!$AP$40:$AP$140</xm:f>
          </x14:formula1>
          <xm:sqref>C21</xm:sqref>
        </x14:dataValidation>
        <x14:dataValidation type="list" allowBlank="1" showInputMessage="1" showErrorMessage="1">
          <x14:formula1>
            <xm:f>Data!$C$17:$C$18</xm:f>
          </x14:formula1>
          <xm:sqref>C13</xm:sqref>
        </x14:dataValidation>
        <x14:dataValidation type="list" allowBlank="1" showInputMessage="1" showErrorMessage="1">
          <x14:formula1>
            <xm:f>Data!$W$84:$W$85</xm:f>
          </x14:formula1>
          <xm:sqref>C47</xm:sqref>
        </x14:dataValidation>
        <x14:dataValidation type="list" allowBlank="1" showInputMessage="1" showErrorMessage="1">
          <x14:formula1>
            <xm:f>Data!$W$138:$W$144</xm:f>
          </x14:formula1>
          <xm:sqref>K31</xm:sqref>
        </x14:dataValidation>
        <x14:dataValidation type="list" allowBlank="1" showInputMessage="1" showErrorMessage="1">
          <x14:formula1>
            <xm:f>Data!$H$73:$H$76</xm:f>
          </x14:formula1>
          <xm:sqref>L18</xm:sqref>
        </x14:dataValidation>
        <x14:dataValidation type="list" allowBlank="1" showInputMessage="1" showErrorMessage="1">
          <x14:formula1>
            <xm:f>Data!$C$83:$C$85</xm:f>
          </x14:formula1>
          <xm:sqref>H21</xm:sqref>
        </x14:dataValidation>
        <x14:dataValidation type="list" allowBlank="1" showInputMessage="1" showErrorMessage="1">
          <x14:formula1>
            <xm:f>Data!$D$73:$D$79</xm:f>
          </x14:formula1>
          <xm:sqref>L15</xm:sqref>
        </x14:dataValidation>
        <x14:dataValidation type="list" allowBlank="1" showInputMessage="1" showErrorMessage="1">
          <x14:formula1>
            <xm:f>Data!$D$94:$D$98</xm:f>
          </x14:formula1>
          <xm:sqref>I23</xm:sqref>
        </x14:dataValidation>
        <x14:dataValidation type="list" allowBlank="1" showInputMessage="1" showErrorMessage="1">
          <x14:formula1>
            <xm:f>Data!$K$171:$K$173</xm:f>
          </x14:formula1>
          <xm:sqref>C32</xm:sqref>
        </x14:dataValidation>
        <x14:dataValidation type="list" allowBlank="1" showInputMessage="1" showErrorMessage="1">
          <x14:formula1>
            <xm:f>Data!$C$151:$C$164</xm:f>
          </x14:formula1>
          <xm:sqref>E32</xm:sqref>
        </x14:dataValidation>
        <x14:dataValidation type="list" allowBlank="1" showInputMessage="1" showErrorMessage="1">
          <x14:formula1>
            <xm:f>Data!$AL$140:$AL$141</xm:f>
          </x14:formula1>
          <xm:sqref>H31</xm:sqref>
        </x14:dataValidation>
        <x14:dataValidation type="list" allowBlank="1" showInputMessage="1" showErrorMessage="1">
          <x14:formula1>
            <xm:f>Data!$K$151:$K$152</xm:f>
          </x14:formula1>
          <xm:sqref>B32</xm:sqref>
        </x14:dataValidation>
        <x14:dataValidation type="list" allowBlank="1" showInputMessage="1" showErrorMessage="1">
          <x14:formula1>
            <xm:f>IF(Data!$J$150=1,Data!$J$143:$J$144,Data!$C$359:$C$360)</xm:f>
          </x14:formula1>
          <xm:sqref>B34</xm:sqref>
        </x14:dataValidation>
        <x14:dataValidation type="list" allowBlank="1" showInputMessage="1" showErrorMessage="1" errorTitle="Not Possible" error="Please re-select this ">
          <x14:formula1>
            <xm:f>IF(Data!$J$150=1,Data!$M$143:$M$145,Data!$F$359:$F$360)</xm:f>
          </x14:formula1>
          <xm:sqref>C34</xm:sqref>
        </x14:dataValidation>
        <x14:dataValidation type="list" allowBlank="1" showInputMessage="1" showErrorMessage="1">
          <x14:formula1>
            <xm:f>Data!$D$60:$D$61</xm:f>
          </x14:formula1>
          <xm:sqref>H15:I15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W127"/>
  <sheetViews>
    <sheetView topLeftCell="I38" workbookViewId="0">
      <selection activeCell="I38" sqref="I38"/>
    </sheetView>
  </sheetViews>
  <sheetFormatPr defaultRowHeight="12.75"/>
  <cols>
    <col min="1" max="1" width="9.140625" style="691"/>
    <col min="2" max="2" width="9.5703125" style="691" bestFit="1" customWidth="1"/>
    <col min="3" max="4" width="12.5703125" style="691" bestFit="1" customWidth="1"/>
    <col min="5" max="5" width="9.140625" style="691"/>
    <col min="6" max="6" width="9.5703125" style="691" bestFit="1" customWidth="1"/>
    <col min="7" max="9" width="9.140625" style="691"/>
    <col min="10" max="10" width="14.28515625" style="691" bestFit="1" customWidth="1"/>
    <col min="11" max="11" width="10.7109375" style="691" bestFit="1" customWidth="1"/>
    <col min="12" max="12" width="12.5703125" style="691" bestFit="1" customWidth="1"/>
    <col min="13" max="17" width="9.140625" style="691"/>
    <col min="18" max="18" width="10.5703125" style="691" bestFit="1" customWidth="1"/>
    <col min="19" max="19" width="9.140625" style="691"/>
    <col min="20" max="20" width="9.5703125" style="691" bestFit="1" customWidth="1"/>
    <col min="21" max="21" width="9.140625" style="691"/>
    <col min="22" max="22" width="9.5703125" style="691" bestFit="1" customWidth="1"/>
    <col min="23" max="16384" width="9.140625" style="691"/>
  </cols>
  <sheetData>
    <row r="1" spans="2:19">
      <c r="B1" s="690" t="s">
        <v>182</v>
      </c>
      <c r="D1" s="690" t="s">
        <v>375</v>
      </c>
    </row>
    <row r="2" spans="2:19">
      <c r="B2" s="691" t="str">
        <f ca="1">Calc!$A$2</f>
        <v>AKM22E</v>
      </c>
      <c r="D2" s="691" t="str">
        <f ca="1">IF(Calc!$C$2=160,"(120 VAC)",IF(Calc!$C$2=320,"(240 VAC)","(400 VAC)"))</f>
        <v>(240 VAC)</v>
      </c>
      <c r="K2" s="692" t="s">
        <v>103</v>
      </c>
      <c r="L2" s="692" t="s">
        <v>12</v>
      </c>
      <c r="O2" s="692" t="s">
        <v>1853</v>
      </c>
    </row>
    <row r="3" spans="2:19">
      <c r="B3" s="690" t="s">
        <v>1814</v>
      </c>
      <c r="D3" s="690" t="s">
        <v>1815</v>
      </c>
      <c r="F3" s="690" t="s">
        <v>1816</v>
      </c>
      <c r="O3" s="692" t="s">
        <v>90</v>
      </c>
      <c r="R3" s="691" t="s">
        <v>1854</v>
      </c>
    </row>
    <row r="4" spans="2:19">
      <c r="B4" s="691" t="s">
        <v>12</v>
      </c>
      <c r="C4" s="691" t="s">
        <v>1855</v>
      </c>
      <c r="D4" s="691" t="s">
        <v>12</v>
      </c>
      <c r="E4" s="691" t="s">
        <v>1855</v>
      </c>
      <c r="F4" s="691" t="s">
        <v>12</v>
      </c>
      <c r="G4" s="691" t="s">
        <v>1855</v>
      </c>
      <c r="K4" s="693" t="s">
        <v>23</v>
      </c>
      <c r="L4" s="691">
        <v>416.66666666666663</v>
      </c>
      <c r="O4" s="692" t="s">
        <v>355</v>
      </c>
      <c r="P4" s="692" t="s">
        <v>1856</v>
      </c>
      <c r="R4" s="691" t="s">
        <v>12</v>
      </c>
      <c r="S4" s="691" t="s">
        <v>1857</v>
      </c>
    </row>
    <row r="5" spans="2:19">
      <c r="B5" s="691">
        <f>IF(Calc!U86&lt;$L$6,Calc!U86,"")</f>
        <v>0</v>
      </c>
      <c r="C5" s="694">
        <f ca="1">IF(Calc!AB86&lt;0,0,IF(Calc!AB86&lt;=$L$8,Calc!AB86,$L$8))</f>
        <v>121</v>
      </c>
      <c r="D5" s="691">
        <f>IF(Calc!AE86&lt;L5,Calc!AE86,"")</f>
        <v>0</v>
      </c>
      <c r="E5" s="694">
        <f ca="1">IF(Calc!AL86&lt;0,0,IF(Calc!AL86&lt;=$L$8,Calc!AL86,$L$8))</f>
        <v>293</v>
      </c>
      <c r="F5" s="691">
        <f>IF(Calc!AN86&lt;L4,Calc!AN86,"")</f>
        <v>0</v>
      </c>
      <c r="G5" s="694">
        <f ca="1">IF(Calc!AU86&lt;0,0,IF(Calc!AU86&lt;=$L$8,Calc!AU86,$L$8))</f>
        <v>686</v>
      </c>
      <c r="K5" s="693" t="s">
        <v>24</v>
      </c>
      <c r="L5" s="691">
        <v>833.33333333333326</v>
      </c>
      <c r="O5" s="692" t="s">
        <v>350</v>
      </c>
      <c r="R5" s="691">
        <v>0</v>
      </c>
      <c r="S5" s="691">
        <v>1166</v>
      </c>
    </row>
    <row r="6" spans="2:19">
      <c r="B6" s="695">
        <f ca="1">IF(Calc!U87&lt;$L$6,Calc!U87,IF(B5&gt;$L$6,B5,B5))</f>
        <v>53.333333333333329</v>
      </c>
      <c r="C6" s="694">
        <f ca="1">IF(Calc!AB87&lt;0,0,IF(Calc!AB87&lt;=$L$8,Calc!AB87,$L$8))</f>
        <v>115</v>
      </c>
      <c r="D6" s="695">
        <f ca="1">IF(Calc!AE87&lt;$L$5,Calc!AE87,IF(D5&gt;$L$5,D5,D5))</f>
        <v>26.666666666666664</v>
      </c>
      <c r="E6" s="694">
        <f ca="1">IF(Calc!AL87&lt;0,0,IF(Calc!AL87&lt;=$L$8,Calc!AL87,$L$8))</f>
        <v>285</v>
      </c>
      <c r="F6" s="695">
        <f ca="1">IF(Calc!AN87&lt;$L$4,Calc!AN87,IF(F5&gt;$L$5,F5,F5))</f>
        <v>13.333333333333332</v>
      </c>
      <c r="G6" s="694">
        <f ca="1">IF(Calc!AU87&lt;0,0,IF(Calc!AU87&lt;=$L$8,Calc!AU87,$L$8))</f>
        <v>677</v>
      </c>
      <c r="K6" s="693" t="s">
        <v>25</v>
      </c>
      <c r="L6" s="691">
        <v>1666.6666666666665</v>
      </c>
      <c r="R6" s="691">
        <v>1398</v>
      </c>
      <c r="S6" s="691">
        <v>1166</v>
      </c>
    </row>
    <row r="7" spans="2:19">
      <c r="B7" s="695">
        <f ca="1">IF(Calc!U88&lt;$L$6,Calc!U88,IF(B6&gt;$L$6,B6,B6))</f>
        <v>106.66666666666666</v>
      </c>
      <c r="C7" s="694">
        <f ca="1">IF(Calc!AB88&lt;0,0,IF(Calc!AB88&lt;=$L$8,Calc!AB88,$L$8))</f>
        <v>110</v>
      </c>
      <c r="D7" s="695">
        <f ca="1">IF(Calc!AE88&lt;$L$5,Calc!AE88,IF(D6&gt;$L$5,D6,D6))</f>
        <v>53.333333333333329</v>
      </c>
      <c r="E7" s="694">
        <f ca="1">IF(Calc!AL88&lt;0,0,IF(Calc!AL88&lt;=$L$8,Calc!AL88,$L$8))</f>
        <v>277</v>
      </c>
      <c r="F7" s="695">
        <f ca="1">IF(Calc!AN88&lt;$L$4,Calc!AN88,IF(F6&gt;$L$5,F6,F6))</f>
        <v>26.666666666666664</v>
      </c>
      <c r="G7" s="694">
        <f ca="1">IF(Calc!AU88&lt;0,0,IF(Calc!AU88&lt;=$L$8,Calc!AU88,$L$8))</f>
        <v>667</v>
      </c>
      <c r="R7" s="691">
        <v>0</v>
      </c>
      <c r="S7" s="691">
        <v>0</v>
      </c>
    </row>
    <row r="8" spans="2:19">
      <c r="B8" s="695">
        <f ca="1">IF(Calc!U89&lt;$L$6,Calc!U89,IF(B7&gt;$L$6,B7,B7))</f>
        <v>160</v>
      </c>
      <c r="C8" s="694">
        <f ca="1">IF(Calc!AB89&lt;0,0,IF(Calc!AB89&lt;=$L$8,Calc!AB89,$L$8))</f>
        <v>104</v>
      </c>
      <c r="D8" s="695">
        <f ca="1">IF(Calc!AE89&lt;$L$5,Calc!AE89,IF(D7&gt;$L$5,D7,D7))</f>
        <v>80</v>
      </c>
      <c r="E8" s="694">
        <f ca="1">IF(Calc!AL89&lt;0,0,IF(Calc!AL89&lt;=$L$8,Calc!AL89,$L$8))</f>
        <v>269</v>
      </c>
      <c r="F8" s="695">
        <f ca="1">IF(Calc!AN89&lt;$L$4,Calc!AN89,IF(F7&gt;$L$5,F7,F7))</f>
        <v>40</v>
      </c>
      <c r="G8" s="694">
        <f ca="1">IF(Calc!AU89&lt;0,0,IF(Calc!AU89&lt;=$L$8,Calc!AU89,$L$8))</f>
        <v>658</v>
      </c>
      <c r="K8" s="692" t="s">
        <v>1883</v>
      </c>
      <c r="L8" s="691">
        <v>6000</v>
      </c>
      <c r="M8" s="692" t="s">
        <v>6</v>
      </c>
    </row>
    <row r="9" spans="2:19">
      <c r="B9" s="695">
        <f ca="1">IF(Calc!U90&lt;$L$6,Calc!U90,IF(B8&gt;$L$6,B8,B8))</f>
        <v>213.33333333333331</v>
      </c>
      <c r="C9" s="694">
        <f ca="1">IF(Calc!AB90&lt;0,0,IF(Calc!AB90&lt;=$L$8,Calc!AB90,$L$8))</f>
        <v>99</v>
      </c>
      <c r="D9" s="695">
        <f ca="1">IF(Calc!AE90&lt;$L$5,Calc!AE90,IF(D8&gt;$L$5,D8,D8))</f>
        <v>106.66666666666666</v>
      </c>
      <c r="E9" s="694">
        <f ca="1">IF(Calc!AL90&lt;0,0,IF(Calc!AL90&lt;=$L$8,Calc!AL90,$L$8))</f>
        <v>261</v>
      </c>
      <c r="F9" s="695">
        <f ca="1">IF(Calc!AN90&lt;$L$4,Calc!AN90,IF(F8&gt;$L$5,F8,F8))</f>
        <v>53.333333333333329</v>
      </c>
      <c r="G9" s="694">
        <f ca="1">IF(Calc!AU90&lt;0,0,IF(Calc!AU90&lt;=$L$8,Calc!AU90,$L$8))</f>
        <v>649</v>
      </c>
    </row>
    <row r="10" spans="2:19">
      <c r="B10" s="695">
        <f ca="1">IF(Calc!U91&lt;$L$6,Calc!U91,IF(B9&gt;$L$6,B9,B9))</f>
        <v>266.66666666666669</v>
      </c>
      <c r="C10" s="694">
        <f ca="1">IF(Calc!AB91&lt;0,0,IF(Calc!AB91&lt;=$L$8,Calc!AB91,$L$8))</f>
        <v>93</v>
      </c>
      <c r="D10" s="695">
        <f ca="1">IF(Calc!AE91&lt;$L$5,Calc!AE91,IF(D9&gt;$L$5,D9,D9))</f>
        <v>133.33333333333334</v>
      </c>
      <c r="E10" s="694">
        <f ca="1">IF(Calc!AL91&lt;0,0,IF(Calc!AL91&lt;=$L$8,Calc!AL91,$L$8))</f>
        <v>253</v>
      </c>
      <c r="F10" s="695">
        <f ca="1">IF(Calc!AN91&lt;$L$4,Calc!AN91,IF(F9&gt;$L$5,F9,F9))</f>
        <v>66.666666666666671</v>
      </c>
      <c r="G10" s="694">
        <f ca="1">IF(Calc!AU91&lt;0,0,IF(Calc!AU91&lt;=$L$8,Calc!AU91,$L$8))</f>
        <v>639</v>
      </c>
    </row>
    <row r="11" spans="2:19">
      <c r="B11" s="695">
        <f ca="1">IF(Calc!U92&lt;$L$6,Calc!U92,IF(B10&gt;$L$6,B10,B10))</f>
        <v>320</v>
      </c>
      <c r="C11" s="694">
        <f ca="1">IF(Calc!AB92&lt;0,0,IF(Calc!AB92&lt;=$L$8,Calc!AB92,$L$8))</f>
        <v>88</v>
      </c>
      <c r="D11" s="695">
        <f ca="1">IF(Calc!AE92&lt;$L$5,Calc!AE92,IF(D10&gt;$L$5,D10,D10))</f>
        <v>160</v>
      </c>
      <c r="E11" s="694">
        <f ca="1">IF(Calc!AL92&lt;0,0,IF(Calc!AL92&lt;=$L$8,Calc!AL92,$L$8))</f>
        <v>245</v>
      </c>
      <c r="F11" s="695">
        <f ca="1">IF(Calc!AN92&lt;$L$4,Calc!AN92,IF(F10&gt;$L$5,F10,F10))</f>
        <v>80</v>
      </c>
      <c r="G11" s="694">
        <f ca="1">IF(Calc!AU92&lt;0,0,IF(Calc!AU92&lt;=$L$8,Calc!AU92,$L$8))</f>
        <v>630</v>
      </c>
    </row>
    <row r="12" spans="2:19">
      <c r="B12" s="695">
        <f ca="1">IF(Calc!U93&lt;$L$6,Calc!U93,IF(B11&gt;$L$6,B11,B11))</f>
        <v>373.33333333333337</v>
      </c>
      <c r="C12" s="694">
        <f ca="1">IF(Calc!AB93&lt;0,0,IF(Calc!AB93&lt;=$L$8,Calc!AB93,$L$8))</f>
        <v>82</v>
      </c>
      <c r="D12" s="695">
        <f ca="1">IF(Calc!AE93&lt;$L$5,Calc!AE93,IF(D11&gt;$L$5,D11,D11))</f>
        <v>186.66666666666669</v>
      </c>
      <c r="E12" s="694">
        <f ca="1">IF(Calc!AL93&lt;0,0,IF(Calc!AL93&lt;=$L$8,Calc!AL93,$L$8))</f>
        <v>238</v>
      </c>
      <c r="F12" s="695">
        <f ca="1">IF(Calc!AN93&lt;$L$4,Calc!AN93,IF(F11&gt;$L$5,F11,F11))</f>
        <v>93.333333333333343</v>
      </c>
      <c r="G12" s="694">
        <f ca="1">IF(Calc!AU93&lt;0,0,IF(Calc!AU93&lt;=$L$8,Calc!AU93,$L$8))</f>
        <v>621</v>
      </c>
    </row>
    <row r="13" spans="2:19">
      <c r="B13" s="695">
        <f ca="1">IF(Calc!U94&lt;$L$6,Calc!U94,IF(B12&gt;$L$6,B12,B12))</f>
        <v>426.66666666666663</v>
      </c>
      <c r="C13" s="694">
        <f ca="1">IF(Calc!AB94&lt;0,0,IF(Calc!AB94&lt;=$L$8,Calc!AB94,$L$8))</f>
        <v>77</v>
      </c>
      <c r="D13" s="695">
        <f ca="1">IF(Calc!AE94&lt;$L$5,Calc!AE94,IF(D12&gt;$L$5,D12,D12))</f>
        <v>213.33333333333331</v>
      </c>
      <c r="E13" s="694">
        <f ca="1">IF(Calc!AL94&lt;0,0,IF(Calc!AL94&lt;=$L$8,Calc!AL94,$L$8))</f>
        <v>230</v>
      </c>
      <c r="F13" s="695">
        <f ca="1">IF(Calc!AN94&lt;$L$4,Calc!AN94,IF(F12&gt;$L$5,F12,F12))</f>
        <v>106.66666666666666</v>
      </c>
      <c r="G13" s="694">
        <f ca="1">IF(Calc!AU94&lt;0,0,IF(Calc!AU94&lt;=$L$8,Calc!AU94,$L$8))</f>
        <v>613</v>
      </c>
    </row>
    <row r="14" spans="2:19">
      <c r="B14" s="695">
        <f ca="1">IF(Calc!U95&lt;$L$6,Calc!U95,IF(B13&gt;$L$6,B13,B13))</f>
        <v>480</v>
      </c>
      <c r="C14" s="694">
        <f ca="1">IF(Calc!AB95&lt;0,0,IF(Calc!AB95&lt;=$L$8,Calc!AB95,$L$8))</f>
        <v>71</v>
      </c>
      <c r="D14" s="695">
        <f ca="1">IF(Calc!AE95&lt;$L$5,Calc!AE95,IF(D13&gt;$L$5,D13,D13))</f>
        <v>240</v>
      </c>
      <c r="E14" s="694">
        <f ca="1">IF(Calc!AL95&lt;0,0,IF(Calc!AL95&lt;=$L$8,Calc!AL95,$L$8))</f>
        <v>222</v>
      </c>
      <c r="F14" s="695">
        <f ca="1">IF(Calc!AN95&lt;$L$4,Calc!AN95,IF(F13&gt;$L$5,F13,F13))</f>
        <v>120</v>
      </c>
      <c r="G14" s="694">
        <f ca="1">IF(Calc!AU95&lt;0,0,IF(Calc!AU95&lt;=$L$8,Calc!AU95,$L$8))</f>
        <v>604</v>
      </c>
    </row>
    <row r="15" spans="2:19">
      <c r="B15" s="695">
        <f ca="1">IF(Calc!U96&lt;$L$6,Calc!U96,IF(B14&gt;$L$6,B14,B14))</f>
        <v>533.33333333333337</v>
      </c>
      <c r="C15" s="694">
        <f ca="1">IF(Calc!AB96&lt;0,0,IF(Calc!AB96&lt;=$L$8,Calc!AB96,$L$8))</f>
        <v>66</v>
      </c>
      <c r="D15" s="695">
        <f ca="1">IF(Calc!AE96&lt;$L$5,Calc!AE96,IF(D14&gt;$L$5,D14,D14))</f>
        <v>266.66666666666669</v>
      </c>
      <c r="E15" s="694">
        <f ca="1">IF(Calc!AL96&lt;0,0,IF(Calc!AL96&lt;=$L$8,Calc!AL96,$L$8))</f>
        <v>215</v>
      </c>
      <c r="F15" s="695">
        <f ca="1">IF(Calc!AN96&lt;$L$4,Calc!AN96,IF(F14&gt;$L$5,F14,F14))</f>
        <v>133.33333333333334</v>
      </c>
      <c r="G15" s="694">
        <f ca="1">IF(Calc!AU96&lt;0,0,IF(Calc!AU96&lt;=$L$8,Calc!AU96,$L$8))</f>
        <v>595</v>
      </c>
    </row>
    <row r="16" spans="2:19">
      <c r="B16" s="695">
        <f ca="1">IF(Calc!U97&lt;$L$6,Calc!U97,IF(B15&gt;$L$6,B15,B15))</f>
        <v>586.66666666666663</v>
      </c>
      <c r="C16" s="694">
        <f ca="1">IF(Calc!AB97&lt;0,0,IF(Calc!AB97&lt;=$L$8,Calc!AB97,$L$8))</f>
        <v>61</v>
      </c>
      <c r="D16" s="695">
        <f ca="1">IF(Calc!AE97&lt;$L$5,Calc!AE97,IF(D15&gt;$L$5,D15,D15))</f>
        <v>293.33333333333331</v>
      </c>
      <c r="E16" s="694">
        <f ca="1">IF(Calc!AL97&lt;0,0,IF(Calc!AL97&lt;=$L$8,Calc!AL97,$L$8))</f>
        <v>207</v>
      </c>
      <c r="F16" s="695">
        <f ca="1">IF(Calc!AN97&lt;$L$4,Calc!AN97,IF(F15&gt;$L$5,F15,F15))</f>
        <v>146.66666666666666</v>
      </c>
      <c r="G16" s="694">
        <f ca="1">IF(Calc!AU97&lt;0,0,IF(Calc!AU97&lt;=$L$8,Calc!AU97,$L$8))</f>
        <v>586</v>
      </c>
    </row>
    <row r="17" spans="2:7">
      <c r="B17" s="695">
        <f ca="1">IF(Calc!U98&lt;$L$6,Calc!U98,IF(B16&gt;$L$6,B16,B16))</f>
        <v>640</v>
      </c>
      <c r="C17" s="694">
        <f ca="1">IF(Calc!AB98&lt;0,0,IF(Calc!AB98&lt;=$L$8,Calc!AB98,$L$8))</f>
        <v>55</v>
      </c>
      <c r="D17" s="695">
        <f ca="1">IF(Calc!AE98&lt;$L$5,Calc!AE98,IF(D16&gt;$L$5,D16,D16))</f>
        <v>320</v>
      </c>
      <c r="E17" s="694">
        <f ca="1">IF(Calc!AL98&lt;0,0,IF(Calc!AL98&lt;=$L$8,Calc!AL98,$L$8))</f>
        <v>200</v>
      </c>
      <c r="F17" s="695">
        <f ca="1">IF(Calc!AN98&lt;$L$4,Calc!AN98,IF(F16&gt;$L$5,F16,F16))</f>
        <v>160</v>
      </c>
      <c r="G17" s="694">
        <f ca="1">IF(Calc!AU98&lt;0,0,IF(Calc!AU98&lt;=$L$8,Calc!AU98,$L$8))</f>
        <v>578</v>
      </c>
    </row>
    <row r="18" spans="2:7">
      <c r="B18" s="695">
        <f ca="1">IF(Calc!U99&lt;$L$6,Calc!U99,IF(B17&gt;$L$6,B17,B17))</f>
        <v>693.33333333333326</v>
      </c>
      <c r="C18" s="694">
        <f ca="1">IF(Calc!AB99&lt;0,0,IF(Calc!AB99&lt;=$L$8,Calc!AB99,$L$8))</f>
        <v>50</v>
      </c>
      <c r="D18" s="695">
        <f ca="1">IF(Calc!AE99&lt;$L$5,Calc!AE99,IF(D17&gt;$L$5,D17,D17))</f>
        <v>346.66666666666663</v>
      </c>
      <c r="E18" s="694">
        <f ca="1">IF(Calc!AL99&lt;0,0,IF(Calc!AL99&lt;=$L$8,Calc!AL99,$L$8))</f>
        <v>192</v>
      </c>
      <c r="F18" s="695">
        <f ca="1">IF(Calc!AN99&lt;$L$4,Calc!AN99,IF(F17&gt;$L$5,F17,F17))</f>
        <v>173.33333333333331</v>
      </c>
      <c r="G18" s="694">
        <f ca="1">IF(Calc!AU99&lt;0,0,IF(Calc!AU99&lt;=$L$8,Calc!AU99,$L$8))</f>
        <v>569</v>
      </c>
    </row>
    <row r="19" spans="2:7">
      <c r="B19" s="695">
        <f ca="1">IF(Calc!U100&lt;$L$6,Calc!U100,IF(B18&gt;$L$6,B18,B18))</f>
        <v>746.66666666666674</v>
      </c>
      <c r="C19" s="694">
        <f ca="1">IF(Calc!AB100&lt;0,0,IF(Calc!AB100&lt;=$L$8,Calc!AB100,$L$8))</f>
        <v>44</v>
      </c>
      <c r="D19" s="695">
        <f ca="1">IF(Calc!AE100&lt;$L$5,Calc!AE100,IF(D18&gt;$L$5,D18,D18))</f>
        <v>373.33333333333337</v>
      </c>
      <c r="E19" s="694">
        <f ca="1">IF(Calc!AL100&lt;0,0,IF(Calc!AL100&lt;=$L$8,Calc!AL100,$L$8))</f>
        <v>185</v>
      </c>
      <c r="F19" s="695">
        <f ca="1">IF(Calc!AN100&lt;$L$4,Calc!AN100,IF(F18&gt;$L$5,F18,F18))</f>
        <v>186.66666666666669</v>
      </c>
      <c r="G19" s="694">
        <f ca="1">IF(Calc!AU100&lt;0,0,IF(Calc!AU100&lt;=$L$8,Calc!AU100,$L$8))</f>
        <v>560</v>
      </c>
    </row>
    <row r="20" spans="2:7">
      <c r="B20" s="695">
        <f ca="1">IF(Calc!U101&lt;$L$6,Calc!U101,IF(B19&gt;$L$6,B19,B19))</f>
        <v>800</v>
      </c>
      <c r="C20" s="694">
        <f ca="1">IF(Calc!AB101&lt;0,0,IF(Calc!AB101&lt;=$L$8,Calc!AB101,$L$8))</f>
        <v>39</v>
      </c>
      <c r="D20" s="695">
        <f ca="1">IF(Calc!AE101&lt;$L$5,Calc!AE101,IF(D19&gt;$L$5,D19,D19))</f>
        <v>400</v>
      </c>
      <c r="E20" s="694">
        <f ca="1">IF(Calc!AL101&lt;0,0,IF(Calc!AL101&lt;=$L$8,Calc!AL101,$L$8))</f>
        <v>177</v>
      </c>
      <c r="F20" s="695">
        <f ca="1">IF(Calc!AN101&lt;$L$4,Calc!AN101,IF(F19&gt;$L$5,F19,F19))</f>
        <v>200</v>
      </c>
      <c r="G20" s="694">
        <f ca="1">IF(Calc!AU101&lt;0,0,IF(Calc!AU101&lt;=$L$8,Calc!AU101,$L$8))</f>
        <v>551</v>
      </c>
    </row>
    <row r="21" spans="2:7">
      <c r="B21" s="695">
        <f ca="1">IF(Calc!U102&lt;$L$6,Calc!U102,IF(B20&gt;$L$6,B20,B20))</f>
        <v>853.33333333333326</v>
      </c>
      <c r="C21" s="694">
        <f ca="1">IF(Calc!AB102&lt;0,0,IF(Calc!AB102&lt;=$L$8,Calc!AB102,$L$8))</f>
        <v>34</v>
      </c>
      <c r="D21" s="695">
        <f ca="1">IF(Calc!AE102&lt;$L$5,Calc!AE102,IF(D20&gt;$L$5,D20,D20))</f>
        <v>426.66666666666663</v>
      </c>
      <c r="E21" s="694">
        <f ca="1">IF(Calc!AL102&lt;0,0,IF(Calc!AL102&lt;=$L$8,Calc!AL102,$L$8))</f>
        <v>169</v>
      </c>
      <c r="F21" s="695">
        <f ca="1">IF(Calc!AN102&lt;$L$4,Calc!AN102,IF(F20&gt;$L$5,F20,F20))</f>
        <v>213.33333333333331</v>
      </c>
      <c r="G21" s="694">
        <f ca="1">IF(Calc!AU102&lt;0,0,IF(Calc!AU102&lt;=$L$8,Calc!AU102,$L$8))</f>
        <v>543</v>
      </c>
    </row>
    <row r="22" spans="2:7">
      <c r="B22" s="695">
        <f ca="1">IF(Calc!U103&lt;$L$6,Calc!U103,IF(B21&gt;$L$6,B21,B21))</f>
        <v>906.66666666666674</v>
      </c>
      <c r="C22" s="694">
        <f ca="1">IF(Calc!AB103&lt;0,0,IF(Calc!AB103&lt;=$L$8,Calc!AB103,$L$8))</f>
        <v>28</v>
      </c>
      <c r="D22" s="695">
        <f ca="1">IF(Calc!AE103&lt;$L$5,Calc!AE103,IF(D21&gt;$L$5,D21,D21))</f>
        <v>453.33333333333337</v>
      </c>
      <c r="E22" s="694">
        <f ca="1">IF(Calc!AL103&lt;0,0,IF(Calc!AL103&lt;=$L$8,Calc!AL103,$L$8))</f>
        <v>162</v>
      </c>
      <c r="F22" s="695">
        <f ca="1">IF(Calc!AN103&lt;$L$4,Calc!AN103,IF(F21&gt;$L$5,F21,F21))</f>
        <v>226.66666666666669</v>
      </c>
      <c r="G22" s="694">
        <f ca="1">IF(Calc!AU103&lt;0,0,IF(Calc!AU103&lt;=$L$8,Calc!AU103,$L$8))</f>
        <v>534</v>
      </c>
    </row>
    <row r="23" spans="2:7">
      <c r="B23" s="695">
        <f ca="1">IF(Calc!U104&lt;$L$6,Calc!U104,IF(B22&gt;$L$6,B22,B22))</f>
        <v>960</v>
      </c>
      <c r="C23" s="694">
        <f ca="1">IF(Calc!AB104&lt;0,0,IF(Calc!AB104&lt;=$L$8,Calc!AB104,$L$8))</f>
        <v>23</v>
      </c>
      <c r="D23" s="695">
        <f ca="1">IF(Calc!AE104&lt;$L$5,Calc!AE104,IF(D22&gt;$L$5,D22,D22))</f>
        <v>480</v>
      </c>
      <c r="E23" s="694">
        <f ca="1">IF(Calc!AL104&lt;0,0,IF(Calc!AL104&lt;=$L$8,Calc!AL104,$L$8))</f>
        <v>154</v>
      </c>
      <c r="F23" s="695">
        <f ca="1">IF(Calc!AN104&lt;$L$4,Calc!AN104,IF(F22&gt;$L$5,F22,F22))</f>
        <v>240</v>
      </c>
      <c r="G23" s="694">
        <f ca="1">IF(Calc!AU104&lt;0,0,IF(Calc!AU104&lt;=$L$8,Calc!AU104,$L$8))</f>
        <v>525</v>
      </c>
    </row>
    <row r="24" spans="2:7">
      <c r="B24" s="695">
        <f ca="1">IF(Calc!U105&lt;$L$6,Calc!U105,IF(B23&gt;$L$6,B23,B23))</f>
        <v>1013.3333333333333</v>
      </c>
      <c r="C24" s="694">
        <f ca="1">IF(Calc!AB105&lt;0,0,IF(Calc!AB105&lt;=$L$8,Calc!AB105,$L$8))</f>
        <v>17</v>
      </c>
      <c r="D24" s="695">
        <f ca="1">IF(Calc!AE105&lt;$L$5,Calc!AE105,IF(D23&gt;$L$5,D23,D23))</f>
        <v>506.66666666666663</v>
      </c>
      <c r="E24" s="694">
        <f ca="1">IF(Calc!AL105&lt;0,0,IF(Calc!AL105&lt;=$L$8,Calc!AL105,$L$8))</f>
        <v>147</v>
      </c>
      <c r="F24" s="695">
        <f ca="1">IF(Calc!AN105&lt;$L$4,Calc!AN105,IF(F23&gt;$L$5,F23,F23))</f>
        <v>253.33333333333331</v>
      </c>
      <c r="G24" s="694">
        <f ca="1">IF(Calc!AU105&lt;0,0,IF(Calc!AU105&lt;=$L$8,Calc!AU105,$L$8))</f>
        <v>516</v>
      </c>
    </row>
    <row r="25" spans="2:7">
      <c r="B25" s="695">
        <f ca="1">IF(Calc!U106&lt;$L$6,Calc!U106,IF(B24&gt;$L$6,B24,B24))</f>
        <v>1066.6666666666667</v>
      </c>
      <c r="C25" s="694">
        <f ca="1">IF(Calc!AB106&lt;0,0,IF(Calc!AB106&lt;=$L$8,Calc!AB106,$L$8))</f>
        <v>12</v>
      </c>
      <c r="D25" s="695">
        <f ca="1">IF(Calc!AE106&lt;$L$5,Calc!AE106,IF(D24&gt;$L$5,D24,D24))</f>
        <v>533.33333333333337</v>
      </c>
      <c r="E25" s="694">
        <f ca="1">IF(Calc!AL106&lt;0,0,IF(Calc!AL106&lt;=$L$8,Calc!AL106,$L$8))</f>
        <v>139</v>
      </c>
      <c r="F25" s="695">
        <f ca="1">IF(Calc!AN106&lt;$L$4,Calc!AN106,IF(F24&gt;$L$5,F24,F24))</f>
        <v>266.66666666666669</v>
      </c>
      <c r="G25" s="694">
        <f ca="1">IF(Calc!AU106&lt;0,0,IF(Calc!AU106&lt;=$L$8,Calc!AU106,$L$8))</f>
        <v>508</v>
      </c>
    </row>
    <row r="26" spans="2:7">
      <c r="B26" s="695">
        <f ca="1">IF(Calc!U107&lt;$L$6,Calc!U107,IF(B25&gt;$L$6,B25,B25))</f>
        <v>1120</v>
      </c>
      <c r="C26" s="694">
        <f ca="1">IF(Calc!AB107&lt;0,0,IF(Calc!AB107&lt;=$L$8,Calc!AB107,$L$8))</f>
        <v>7</v>
      </c>
      <c r="D26" s="695">
        <f ca="1">IF(Calc!AE107&lt;$L$5,Calc!AE107,IF(D25&gt;$L$5,D25,D25))</f>
        <v>560</v>
      </c>
      <c r="E26" s="694">
        <f ca="1">IF(Calc!AL107&lt;0,0,IF(Calc!AL107&lt;=$L$8,Calc!AL107,$L$8))</f>
        <v>131</v>
      </c>
      <c r="F26" s="695">
        <f ca="1">IF(Calc!AN107&lt;$L$4,Calc!AN107,IF(F25&gt;$L$5,F25,F25))</f>
        <v>280</v>
      </c>
      <c r="G26" s="694">
        <f ca="1">IF(Calc!AU107&lt;0,0,IF(Calc!AU107&lt;=$L$8,Calc!AU107,$L$8))</f>
        <v>499</v>
      </c>
    </row>
    <row r="27" spans="2:7">
      <c r="B27" s="695">
        <f ca="1">IF(Calc!U108&lt;$L$6,Calc!U108,IF(B26&gt;$L$6,B26,B26))</f>
        <v>1173.3333333333333</v>
      </c>
      <c r="C27" s="694">
        <f ca="1">IF(Calc!AB108&lt;0,0,IF(Calc!AB108&lt;=$L$8,Calc!AB108,$L$8))</f>
        <v>1</v>
      </c>
      <c r="D27" s="695">
        <f ca="1">IF(Calc!AE108&lt;$L$5,Calc!AE108,IF(D26&gt;$L$5,D26,D26))</f>
        <v>586.66666666666663</v>
      </c>
      <c r="E27" s="694">
        <f ca="1">IF(Calc!AL108&lt;0,0,IF(Calc!AL108&lt;=$L$8,Calc!AL108,$L$8))</f>
        <v>123</v>
      </c>
      <c r="F27" s="695">
        <f ca="1">IF(Calc!AN108&lt;$L$4,Calc!AN108,IF(F26&gt;$L$5,F26,F26))</f>
        <v>293.33333333333331</v>
      </c>
      <c r="G27" s="694">
        <f ca="1">IF(Calc!AU108&lt;0,0,IF(Calc!AU108&lt;=$L$8,Calc!AU108,$L$8))</f>
        <v>489</v>
      </c>
    </row>
    <row r="28" spans="2:7">
      <c r="B28" s="695">
        <f ca="1">IF(Calc!U109&lt;$L$6,Calc!U109,IF(B27&gt;$L$6,B27,B27))</f>
        <v>1226.6666666666667</v>
      </c>
      <c r="C28" s="694">
        <f ca="1">IF(Calc!AB109&lt;0,0,IF(Calc!AB109&lt;=$L$8,Calc!AB109,$L$8))</f>
        <v>0</v>
      </c>
      <c r="D28" s="695">
        <f ca="1">IF(Calc!AE109&lt;$L$5,Calc!AE109,IF(D27&gt;$L$5,D27,D27))</f>
        <v>613.33333333333337</v>
      </c>
      <c r="E28" s="694">
        <f ca="1">IF(Calc!AL109&lt;0,0,IF(Calc!AL109&lt;=$L$8,Calc!AL109,$L$8))</f>
        <v>115</v>
      </c>
      <c r="F28" s="695">
        <f ca="1">IF(Calc!AN109&lt;$L$4,Calc!AN109,IF(F27&gt;$L$5,F27,F27))</f>
        <v>306.66666666666669</v>
      </c>
      <c r="G28" s="694">
        <f ca="1">IF(Calc!AU109&lt;0,0,IF(Calc!AU109&lt;=$L$8,Calc!AU109,$L$8))</f>
        <v>479</v>
      </c>
    </row>
    <row r="29" spans="2:7">
      <c r="B29" s="695">
        <f ca="1">IF(Calc!U110&lt;$L$6,Calc!U110,IF(B28&gt;$L$6,B28,B28))</f>
        <v>1280</v>
      </c>
      <c r="C29" s="694">
        <f ca="1">IF(Calc!AB110&lt;0,0,IF(Calc!AB110&lt;=$L$8,Calc!AB110,$L$8))</f>
        <v>0</v>
      </c>
      <c r="D29" s="695">
        <f ca="1">IF(Calc!AE110&lt;$L$5,Calc!AE110,IF(D28&gt;$L$5,D28,D28))</f>
        <v>640</v>
      </c>
      <c r="E29" s="694">
        <f ca="1">IF(Calc!AL110&lt;0,0,IF(Calc!AL110&lt;=$L$8,Calc!AL110,$L$8))</f>
        <v>107</v>
      </c>
      <c r="F29" s="695">
        <f ca="1">IF(Calc!AN110&lt;$L$4,Calc!AN110,IF(F28&gt;$L$5,F28,F28))</f>
        <v>320</v>
      </c>
      <c r="G29" s="694">
        <f ca="1">IF(Calc!AU110&lt;0,0,IF(Calc!AU110&lt;=$L$8,Calc!AU110,$L$8))</f>
        <v>469</v>
      </c>
    </row>
    <row r="30" spans="2:7">
      <c r="B30" s="695">
        <f ca="1">IF(Calc!U111&lt;$L$6,Calc!U111,IF(B29&gt;$L$6,B29,B29))</f>
        <v>1333.3333333333335</v>
      </c>
      <c r="C30" s="694">
        <f ca="1">IF(Calc!AB111&lt;0,0,IF(Calc!AB111&lt;=$L$8,Calc!AB111,$L$8))</f>
        <v>0</v>
      </c>
      <c r="D30" s="695">
        <f ca="1">IF(Calc!AE111&lt;$L$5,Calc!AE111,IF(D29&gt;$L$5,D29,D29))</f>
        <v>666.66666666666674</v>
      </c>
      <c r="E30" s="694">
        <f ca="1">IF(Calc!AL111&lt;0,0,IF(Calc!AL111&lt;=$L$8,Calc!AL111,$L$8))</f>
        <v>99</v>
      </c>
      <c r="F30" s="695">
        <f ca="1">IF(Calc!AN111&lt;$L$4,Calc!AN111,IF(F29&gt;$L$5,F29,F29))</f>
        <v>333.33333333333337</v>
      </c>
      <c r="G30" s="694">
        <f ca="1">IF(Calc!AU111&lt;0,0,IF(Calc!AU111&lt;=$L$8,Calc!AU111,$L$8))</f>
        <v>459</v>
      </c>
    </row>
    <row r="31" spans="2:7">
      <c r="B31" s="695">
        <f ca="1">IF(Calc!U112&lt;$L$6,Calc!U112,IF(B30&gt;$L$6,B30,B30))</f>
        <v>1386.6666666666665</v>
      </c>
      <c r="C31" s="694">
        <f ca="1">IF(Calc!AB112&lt;0,0,IF(Calc!AB112&lt;=$L$8,Calc!AB112,$L$8))</f>
        <v>0</v>
      </c>
      <c r="D31" s="695">
        <f ca="1">IF(Calc!AE112&lt;$L$5,Calc!AE112,IF(D30&gt;$L$5,D30,D30))</f>
        <v>693.33333333333326</v>
      </c>
      <c r="E31" s="694">
        <f ca="1">IF(Calc!AL112&lt;0,0,IF(Calc!AL112&lt;=$L$8,Calc!AL112,$L$8))</f>
        <v>90</v>
      </c>
      <c r="F31" s="695">
        <f ca="1">IF(Calc!AN112&lt;$L$4,Calc!AN112,IF(F30&gt;$L$5,F30,F30))</f>
        <v>346.66666666666663</v>
      </c>
      <c r="G31" s="694">
        <f ca="1">IF(Calc!AU112&lt;0,0,IF(Calc!AU112&lt;=$L$8,Calc!AU112,$L$8))</f>
        <v>449</v>
      </c>
    </row>
    <row r="32" spans="2:7">
      <c r="B32" s="695">
        <f ca="1">IF(Calc!U113&lt;$L$6,Calc!U113,IF(B31&gt;$L$6,B31,B31))</f>
        <v>1440</v>
      </c>
      <c r="C32" s="694">
        <f ca="1">IF(Calc!AB113&lt;0,0,IF(Calc!AB113&lt;=$L$8,Calc!AB113,$L$8))</f>
        <v>0</v>
      </c>
      <c r="D32" s="695">
        <f ca="1">IF(Calc!AE113&lt;$L$5,Calc!AE113,IF(D31&gt;$L$5,D31,D31))</f>
        <v>720</v>
      </c>
      <c r="E32" s="694">
        <f ca="1">IF(Calc!AL113&lt;0,0,IF(Calc!AL113&lt;=$L$8,Calc!AL113,$L$8))</f>
        <v>82</v>
      </c>
      <c r="F32" s="695">
        <f ca="1">IF(Calc!AN113&lt;$L$4,Calc!AN113,IF(F31&gt;$L$5,F31,F31))</f>
        <v>360</v>
      </c>
      <c r="G32" s="694">
        <f ca="1">IF(Calc!AU113&lt;0,0,IF(Calc!AU113&lt;=$L$8,Calc!AU113,$L$8))</f>
        <v>439</v>
      </c>
    </row>
    <row r="33" spans="2:7">
      <c r="B33" s="695">
        <f ca="1">IF(Calc!U114&lt;$L$6,Calc!U114,IF(B32&gt;$L$6,B32,B32))</f>
        <v>1493.3333333333335</v>
      </c>
      <c r="C33" s="694">
        <f ca="1">IF(Calc!AB114&lt;0,0,IF(Calc!AB114&lt;=$L$8,Calc!AB114,$L$8))</f>
        <v>0</v>
      </c>
      <c r="D33" s="695">
        <f ca="1">IF(Calc!AE114&lt;$L$5,Calc!AE114,IF(D32&gt;$L$5,D32,D32))</f>
        <v>746.66666666666674</v>
      </c>
      <c r="E33" s="694">
        <f ca="1">IF(Calc!AL114&lt;0,0,IF(Calc!AL114&lt;=$L$8,Calc!AL114,$L$8))</f>
        <v>74</v>
      </c>
      <c r="F33" s="695">
        <f ca="1">IF(Calc!AN114&lt;$L$4,Calc!AN114,IF(F32&gt;$L$5,F32,F32))</f>
        <v>373.33333333333337</v>
      </c>
      <c r="G33" s="694">
        <f ca="1">IF(Calc!AU114&lt;0,0,IF(Calc!AU114&lt;=$L$8,Calc!AU114,$L$8))</f>
        <v>429</v>
      </c>
    </row>
    <row r="34" spans="2:7">
      <c r="B34" s="695">
        <f ca="1">IF(Calc!U115&lt;$L$6,Calc!U115,IF(B33&gt;$L$6,B33,B33))</f>
        <v>1546.6666666666665</v>
      </c>
      <c r="C34" s="694">
        <f ca="1">IF(Calc!AB115&lt;0,0,IF(Calc!AB115&lt;=$L$8,Calc!AB115,$L$8))</f>
        <v>0</v>
      </c>
      <c r="D34" s="695">
        <f ca="1">IF(Calc!AE115&lt;$L$5,Calc!AE115,IF(D33&gt;$L$5,D33,D33))</f>
        <v>773.33333333333326</v>
      </c>
      <c r="E34" s="694">
        <f ca="1">IF(Calc!AL115&lt;0,0,IF(Calc!AL115&lt;=$L$8,Calc!AL115,$L$8))</f>
        <v>66</v>
      </c>
      <c r="F34" s="695">
        <f ca="1">IF(Calc!AN115&lt;$L$4,Calc!AN115,IF(F33&gt;$L$5,F33,F33))</f>
        <v>386.66666666666663</v>
      </c>
      <c r="G34" s="694">
        <f ca="1">IF(Calc!AU115&lt;0,0,IF(Calc!AU115&lt;=$L$8,Calc!AU115,$L$8))</f>
        <v>419</v>
      </c>
    </row>
    <row r="35" spans="2:7">
      <c r="B35" s="695">
        <f ca="1">IF(Calc!U116&lt;$L$6,Calc!U116,IF(B34&gt;$L$6,B34,B34))</f>
        <v>1600</v>
      </c>
      <c r="C35" s="694">
        <f ca="1">IF(Calc!AB116&lt;0,0,IF(Calc!AB116&lt;=$L$8,Calc!AB116,$L$8))</f>
        <v>0</v>
      </c>
      <c r="D35" s="695">
        <f ca="1">IF(Calc!AE116&lt;$L$5,Calc!AE116,IF(D34&gt;$L$5,D34,D34))</f>
        <v>800</v>
      </c>
      <c r="E35" s="694">
        <f ca="1">IF(Calc!AL116&lt;0,0,IF(Calc!AL116&lt;=$L$8,Calc!AL116,$L$8))</f>
        <v>58</v>
      </c>
      <c r="F35" s="695">
        <f ca="1">IF(Calc!AN116&lt;$L$4,Calc!AN116,IF(F34&gt;$L$5,F34,F34))</f>
        <v>400</v>
      </c>
      <c r="G35" s="694">
        <f ca="1">IF(Calc!AU116&lt;0,0,IF(Calc!AU116&lt;=$L$8,Calc!AU116,$L$8))</f>
        <v>409</v>
      </c>
    </row>
    <row r="36" spans="2:7">
      <c r="B36" s="695">
        <f ca="1">IF(Calc!U117&lt;$L$6,Calc!U117,IF(B35&gt;$L$6,B35,B35))</f>
        <v>1653.3333333333335</v>
      </c>
      <c r="C36" s="694">
        <f ca="1">IF(Calc!AB117&lt;0,0,IF(Calc!AB117&lt;=$L$8,Calc!AB117,$L$8))</f>
        <v>0</v>
      </c>
      <c r="D36" s="695">
        <f ca="1">IF(Calc!AE117&lt;$L$5,Calc!AE117,IF(D35&gt;$L$5,D35,D35))</f>
        <v>826.66666666666674</v>
      </c>
      <c r="E36" s="694">
        <f ca="1">IF(Calc!AL117&lt;0,0,IF(Calc!AL117&lt;=$L$8,Calc!AL117,$L$8))</f>
        <v>49</v>
      </c>
      <c r="F36" s="695">
        <f ca="1">IF(Calc!AN117&lt;$L$4,Calc!AN117,IF(F35&gt;$L$5,F35,F35))</f>
        <v>413.33333333333337</v>
      </c>
      <c r="G36" s="694">
        <f ca="1">IF(Calc!AU117&lt;0,0,IF(Calc!AU117&lt;=$L$8,Calc!AU117,$L$8))</f>
        <v>399</v>
      </c>
    </row>
    <row r="37" spans="2:7">
      <c r="B37" s="695">
        <f ca="1">IF(Calc!U118&lt;$L$6,Calc!U118,IF(B36&gt;$L$6,B36,B36))</f>
        <v>1653.3333333333335</v>
      </c>
      <c r="C37" s="694">
        <f ca="1">IF(Calc!AB118&lt;0,0,IF(Calc!AB118&lt;=$L$8,Calc!AB118,$L$8))</f>
        <v>0</v>
      </c>
      <c r="D37" s="695">
        <f ca="1">IF(Calc!AE118&lt;$L$5,Calc!AE118,IF(D36&gt;$L$5,D36,D36))</f>
        <v>826.66666666666674</v>
      </c>
      <c r="E37" s="694">
        <f ca="1">IF(Calc!AL118&lt;0,0,IF(Calc!AL118&lt;=$L$8,Calc!AL118,$L$8))</f>
        <v>41</v>
      </c>
      <c r="F37" s="695">
        <f ca="1">IF(Calc!AN118&lt;$L$4,Calc!AN118,IF(F36&gt;$L$5,F36,F36))</f>
        <v>413.33333333333337</v>
      </c>
      <c r="G37" s="694">
        <f ca="1">IF(Calc!AU118&lt;0,0,IF(Calc!AU118&lt;=$L$8,Calc!AU118,$L$8))</f>
        <v>389</v>
      </c>
    </row>
    <row r="38" spans="2:7">
      <c r="B38" s="695">
        <f ca="1">IF(Calc!U119&lt;$L$6,Calc!U119,IF(B37&gt;$L$6,B37,B37))</f>
        <v>1653.3333333333335</v>
      </c>
      <c r="C38" s="694">
        <f ca="1">IF(Calc!AB119&lt;0,0,IF(Calc!AB119&lt;=$L$8,Calc!AB119,$L$8))</f>
        <v>0</v>
      </c>
      <c r="D38" s="695">
        <f ca="1">IF(Calc!AE119&lt;$L$5,Calc!AE119,IF(D37&gt;$L$5,D37,D37))</f>
        <v>826.66666666666674</v>
      </c>
      <c r="E38" s="694">
        <f ca="1">IF(Calc!AL119&lt;0,0,IF(Calc!AL119&lt;=$L$8,Calc!AL119,$L$8))</f>
        <v>33</v>
      </c>
      <c r="F38" s="695">
        <f ca="1">IF(Calc!AN119&lt;$L$4,Calc!AN119,IF(F37&gt;$L$5,F37,F37))</f>
        <v>413.33333333333337</v>
      </c>
      <c r="G38" s="694">
        <f ca="1">IF(Calc!AU119&lt;0,0,IF(Calc!AU119&lt;=$L$8,Calc!AU119,$L$8))</f>
        <v>379</v>
      </c>
    </row>
    <row r="39" spans="2:7">
      <c r="B39" s="695">
        <f ca="1">IF(Calc!U120&lt;$L$6,Calc!U120,IF(B38&gt;$L$6,B38,B38))</f>
        <v>1653.3333333333335</v>
      </c>
      <c r="C39" s="694">
        <f ca="1">IF(Calc!AB120&lt;0,0,IF(Calc!AB120&lt;=$L$8,Calc!AB120,$L$8))</f>
        <v>0</v>
      </c>
      <c r="D39" s="695">
        <f ca="1">IF(Calc!AE120&lt;$L$5,Calc!AE120,IF(D38&gt;$L$5,D38,D38))</f>
        <v>826.66666666666674</v>
      </c>
      <c r="E39" s="694">
        <f ca="1">IF(Calc!AL120&lt;0,0,IF(Calc!AL120&lt;=$L$8,Calc!AL120,$L$8))</f>
        <v>25</v>
      </c>
      <c r="F39" s="695">
        <f ca="1">IF(Calc!AN120&lt;$L$4,Calc!AN120,IF(F38&gt;$L$5,F38,F38))</f>
        <v>413.33333333333337</v>
      </c>
      <c r="G39" s="694">
        <f ca="1">IF(Calc!AU120&lt;0,0,IF(Calc!AU120&lt;=$L$8,Calc!AU120,$L$8))</f>
        <v>369</v>
      </c>
    </row>
    <row r="40" spans="2:7">
      <c r="B40" s="695">
        <f ca="1">IF(Calc!U121&lt;$L$6,Calc!U121,IF(B39&gt;$L$6,B39,B39))</f>
        <v>1653.3333333333335</v>
      </c>
      <c r="C40" s="694">
        <f ca="1">IF(Calc!AB121&lt;0,0,IF(Calc!AB121&lt;=$L$8,Calc!AB121,$L$8))</f>
        <v>0</v>
      </c>
      <c r="D40" s="695">
        <f ca="1">IF(Calc!AE121&lt;$L$5,Calc!AE121,IF(D39&gt;$L$5,D39,D39))</f>
        <v>826.66666666666674</v>
      </c>
      <c r="E40" s="694">
        <f ca="1">IF(Calc!AL121&lt;0,0,IF(Calc!AL121&lt;=$L$8,Calc!AL121,$L$8))</f>
        <v>17</v>
      </c>
      <c r="F40" s="695">
        <f ca="1">IF(Calc!AN121&lt;$L$4,Calc!AN121,IF(F39&gt;$L$5,F39,F39))</f>
        <v>413.33333333333337</v>
      </c>
      <c r="G40" s="694">
        <f ca="1">IF(Calc!AU121&lt;0,0,IF(Calc!AU121&lt;=$L$8,Calc!AU121,$L$8))</f>
        <v>359</v>
      </c>
    </row>
    <row r="41" spans="2:7">
      <c r="B41" s="695">
        <f ca="1">IF(Calc!U122&lt;$L$6,Calc!U122,IF(B40&gt;$L$6,B40,B40))</f>
        <v>1653.3333333333335</v>
      </c>
      <c r="C41" s="694">
        <f ca="1">IF(Calc!AB122&lt;0,0,IF(Calc!AB122&lt;=$L$8,Calc!AB122,$L$8))</f>
        <v>0</v>
      </c>
      <c r="D41" s="695">
        <f ca="1">IF(Calc!AE122&lt;$L$5,Calc!AE122,IF(D40&gt;$L$5,D40,D40))</f>
        <v>826.66666666666674</v>
      </c>
      <c r="E41" s="694">
        <f ca="1">IF(Calc!AL122&lt;0,0,IF(Calc!AL122&lt;=$L$8,Calc!AL122,$L$8))</f>
        <v>8</v>
      </c>
      <c r="F41" s="695">
        <f ca="1">IF(Calc!AN122&lt;$L$4,Calc!AN122,IF(F40&gt;$L$5,F40,F40))</f>
        <v>413.33333333333337</v>
      </c>
      <c r="G41" s="694">
        <f ca="1">IF(Calc!AU122&lt;0,0,IF(Calc!AU122&lt;=$L$8,Calc!AU122,$L$8))</f>
        <v>349</v>
      </c>
    </row>
    <row r="42" spans="2:7">
      <c r="B42" s="695">
        <f ca="1">IF(Calc!U123&lt;$L$6,Calc!U123,IF(B41&gt;$L$6,B41,B41))</f>
        <v>1653.3333333333335</v>
      </c>
      <c r="C42" s="694">
        <f ca="1">IF(Calc!AB123&lt;0,0,IF(Calc!AB123&lt;=$L$8,Calc!AB123,$L$8))</f>
        <v>0</v>
      </c>
      <c r="D42" s="695">
        <f ca="1">IF(Calc!AE123&lt;$L$5,Calc!AE123,IF(D41&gt;$L$5,D41,D41))</f>
        <v>826.66666666666674</v>
      </c>
      <c r="E42" s="694">
        <f ca="1">IF(Calc!AL123&lt;0,0,IF(Calc!AL123&lt;=$L$8,Calc!AL123,$L$8))</f>
        <v>0</v>
      </c>
      <c r="F42" s="695">
        <f ca="1">IF(Calc!AN123&lt;$L$4,Calc!AN123,IF(F41&gt;$L$5,F41,F41))</f>
        <v>413.33333333333337</v>
      </c>
      <c r="G42" s="694">
        <f ca="1">IF(Calc!AU123&lt;0,0,IF(Calc!AU123&lt;=$L$8,Calc!AU123,$L$8))</f>
        <v>339</v>
      </c>
    </row>
    <row r="43" spans="2:7">
      <c r="B43" s="695">
        <f ca="1">IF(Calc!U124&lt;$L$6,Calc!U124,IF(B42&gt;$L$6,B42,B42))</f>
        <v>1653.3333333333335</v>
      </c>
      <c r="C43" s="694">
        <f ca="1">IF(Calc!AB124&lt;0,0,IF(Calc!AB124&lt;=$L$8,Calc!AB124,$L$8))</f>
        <v>0</v>
      </c>
      <c r="D43" s="695">
        <f ca="1">IF(Calc!AE124&lt;$L$5,Calc!AE124,IF(D42&gt;$L$5,D42,D42))</f>
        <v>826.66666666666674</v>
      </c>
      <c r="E43" s="694">
        <f ca="1">IF(Calc!AL124&lt;0,0,IF(Calc!AL124&lt;=$L$8,Calc!AL124,$L$8))</f>
        <v>0</v>
      </c>
      <c r="F43" s="695">
        <f ca="1">IF(Calc!AN124&lt;$L$4,Calc!AN124,IF(F42&gt;$L$5,F42,F42))</f>
        <v>413.33333333333337</v>
      </c>
      <c r="G43" s="694">
        <f ca="1">IF(Calc!AU124&lt;0,0,IF(Calc!AU124&lt;=$L$8,Calc!AU124,$L$8))</f>
        <v>329</v>
      </c>
    </row>
    <row r="44" spans="2:7">
      <c r="B44" s="695">
        <f ca="1">IF(Calc!U125&lt;$L$6,Calc!U125,IF(B43&gt;$L$6,B43,B43))</f>
        <v>1653.3333333333335</v>
      </c>
      <c r="C44" s="694">
        <f ca="1">IF(Calc!AB125&lt;0,0,IF(Calc!AB125&lt;=$L$8,Calc!AB125,$L$8))</f>
        <v>0</v>
      </c>
      <c r="D44" s="695">
        <f ca="1">IF(Calc!AE125&lt;$L$5,Calc!AE125,IF(D43&gt;$L$5,D43,D43))</f>
        <v>826.66666666666674</v>
      </c>
      <c r="E44" s="694">
        <f ca="1">IF(Calc!AL125&lt;0,0,IF(Calc!AL125&lt;=$L$8,Calc!AL125,$L$8))</f>
        <v>0</v>
      </c>
      <c r="F44" s="695">
        <f ca="1">IF(Calc!AN125&lt;$L$4,Calc!AN125,IF(F43&gt;$L$5,F43,F43))</f>
        <v>413.33333333333337</v>
      </c>
      <c r="G44" s="694">
        <f ca="1">IF(Calc!AU125&lt;0,0,IF(Calc!AU125&lt;=$L$8,Calc!AU125,$L$8))</f>
        <v>319</v>
      </c>
    </row>
    <row r="45" spans="2:7">
      <c r="B45" s="695">
        <f ca="1">IF(Calc!U126&lt;$L$6,Calc!U126,IF(B44&gt;$L$6,B44,B44))</f>
        <v>1653.3333333333335</v>
      </c>
      <c r="C45" s="694">
        <f ca="1">IF(Calc!AB126&lt;0,0,IF(Calc!AB126&lt;=$L$8,Calc!AB126,$L$8))</f>
        <v>0</v>
      </c>
      <c r="D45" s="695">
        <f ca="1">IF(Calc!AE126&lt;$L$5,Calc!AE126,IF(D44&gt;$L$5,D44,D44))</f>
        <v>826.66666666666674</v>
      </c>
      <c r="E45" s="694">
        <f ca="1">IF(Calc!AL126&lt;0,0,IF(Calc!AL126&lt;=$L$8,Calc!AL126,$L$8))</f>
        <v>0</v>
      </c>
      <c r="F45" s="695">
        <f ca="1">IF(Calc!AN126&lt;$L$4,Calc!AN126,IF(F44&gt;$L$5,F44,F44))</f>
        <v>413.33333333333337</v>
      </c>
      <c r="G45" s="694">
        <f ca="1">IF(Calc!AU126&lt;0,0,IF(Calc!AU126&lt;=$L$8,Calc!AU126,$L$8))</f>
        <v>309</v>
      </c>
    </row>
    <row r="46" spans="2:7">
      <c r="B46" s="695">
        <f ca="1">IF(Calc!U127&lt;$L$6,Calc!U127,IF(B45&gt;$L$6,B45,B45))</f>
        <v>1653.3333333333335</v>
      </c>
      <c r="C46" s="694">
        <f ca="1">IF(Calc!AB127&lt;0,0,IF(Calc!AB127&lt;=$L$8,Calc!AB127,$L$8))</f>
        <v>0</v>
      </c>
      <c r="D46" s="695">
        <f ca="1">IF(Calc!AE127&lt;$L$5,Calc!AE127,IF(D45&gt;$L$5,D45,D45))</f>
        <v>826.66666666666674</v>
      </c>
      <c r="E46" s="694">
        <f ca="1">IF(Calc!AL127&lt;0,0,IF(Calc!AL127&lt;=$L$8,Calc!AL127,$L$8))</f>
        <v>0</v>
      </c>
      <c r="F46" s="695">
        <f ca="1">IF(Calc!AN127&lt;$L$4,Calc!AN127,IF(F45&gt;$L$5,F45,F45))</f>
        <v>413.33333333333337</v>
      </c>
      <c r="G46" s="694">
        <f ca="1">IF(Calc!AU127&lt;0,0,IF(Calc!AU127&lt;=$L$8,Calc!AU127,$L$8))</f>
        <v>299</v>
      </c>
    </row>
    <row r="47" spans="2:7">
      <c r="B47" s="695">
        <f ca="1">IF(Calc!U128&lt;$L$6,Calc!U128,IF(B46&gt;$L$6,B46,B46))</f>
        <v>1653.3333333333335</v>
      </c>
      <c r="C47" s="694">
        <f ca="1">IF(Calc!AB128&lt;0,0,IF(Calc!AB128&lt;=$L$8,Calc!AB128,$L$8))</f>
        <v>0</v>
      </c>
      <c r="D47" s="695">
        <f ca="1">IF(Calc!AE128&lt;$L$5,Calc!AE128,IF(D46&gt;$L$5,D46,D46))</f>
        <v>826.66666666666674</v>
      </c>
      <c r="E47" s="694">
        <f ca="1">IF(Calc!AL128&lt;0,0,IF(Calc!AL128&lt;=$L$8,Calc!AL128,$L$8))</f>
        <v>0</v>
      </c>
      <c r="F47" s="695">
        <f ca="1">IF(Calc!AN128&lt;$L$4,Calc!AN128,IF(F46&gt;$L$5,F46,F46))</f>
        <v>413.33333333333337</v>
      </c>
      <c r="G47" s="694">
        <f ca="1">IF(Calc!AU128&lt;0,0,IF(Calc!AU128&lt;=$L$8,Calc!AU128,$L$8))</f>
        <v>289</v>
      </c>
    </row>
    <row r="48" spans="2:7">
      <c r="B48" s="695">
        <f ca="1">IF(Calc!U129&lt;$L$6,Calc!U129,IF(B47&gt;$L$6,B47,B47))</f>
        <v>1653.3333333333335</v>
      </c>
      <c r="C48" s="694">
        <f ca="1">IF(Calc!AB129&lt;0,0,IF(Calc!AB129&lt;=$L$8,Calc!AB129,$L$8))</f>
        <v>0</v>
      </c>
      <c r="D48" s="695">
        <f ca="1">IF(Calc!AE129&lt;$L$5,Calc!AE129,IF(D47&gt;$L$5,D47,D47))</f>
        <v>826.66666666666674</v>
      </c>
      <c r="E48" s="694">
        <f ca="1">IF(Calc!AL129&lt;0,0,IF(Calc!AL129&lt;=$L$8,Calc!AL129,$L$8))</f>
        <v>0</v>
      </c>
      <c r="F48" s="695">
        <f ca="1">IF(Calc!AN129&lt;$L$4,Calc!AN129,IF(F47&gt;$L$5,F47,F47))</f>
        <v>413.33333333333337</v>
      </c>
      <c r="G48" s="694">
        <f ca="1">IF(Calc!AU129&lt;0,0,IF(Calc!AU129&lt;=$L$8,Calc!AU129,$L$8))</f>
        <v>279</v>
      </c>
    </row>
    <row r="49" spans="2:23">
      <c r="B49" s="695">
        <f ca="1">IF(Calc!U130&lt;$L$6,Calc!U130,IF(B48&gt;$L$6,B48,B48))</f>
        <v>1653.3333333333335</v>
      </c>
      <c r="C49" s="694">
        <f ca="1">IF(Calc!AB130&lt;0,0,IF(Calc!AB130&lt;=$L$8,Calc!AB130,$L$8))</f>
        <v>0</v>
      </c>
      <c r="D49" s="695">
        <f ca="1">IF(Calc!AE130&lt;$L$5,Calc!AE130,IF(D48&gt;$L$5,D48,D48))</f>
        <v>826.66666666666674</v>
      </c>
      <c r="E49" s="694">
        <f ca="1">IF(Calc!AL130&lt;0,0,IF(Calc!AL130&lt;=$L$8,Calc!AL130,$L$8))</f>
        <v>0</v>
      </c>
      <c r="F49" s="695">
        <f ca="1">IF(Calc!AN130&lt;$L$4,Calc!AN130,IF(F48&gt;$L$5,F48,F48))</f>
        <v>413.33333333333337</v>
      </c>
      <c r="G49" s="694">
        <f ca="1">IF(Calc!AU130&lt;0,0,IF(Calc!AU130&lt;=$L$8,Calc!AU130,$L$8))</f>
        <v>270</v>
      </c>
    </row>
    <row r="50" spans="2:23">
      <c r="B50" s="695">
        <f ca="1">IF(Calc!U131&lt;$L$6,Calc!U131,IF(B49&gt;$L$6,B49,B49))</f>
        <v>1653.3333333333335</v>
      </c>
      <c r="C50" s="694">
        <f ca="1">IF(Calc!AB131&lt;0,0,IF(Calc!AB131&lt;=$L$8,Calc!AB131,$L$8))</f>
        <v>0</v>
      </c>
      <c r="D50" s="695">
        <f ca="1">IF(Calc!AE131&lt;$L$5,Calc!AE131,IF(D49&gt;$L$5,D49,D49))</f>
        <v>826.66666666666674</v>
      </c>
      <c r="E50" s="694">
        <f ca="1">IF(Calc!AL131&lt;0,0,IF(Calc!AL131&lt;=$L$8,Calc!AL131,$L$8))</f>
        <v>0</v>
      </c>
      <c r="F50" s="695">
        <f ca="1">IF(Calc!AN131&lt;$L$4,Calc!AN131,IF(F49&gt;$L$5,F49,F49))</f>
        <v>413.33333333333337</v>
      </c>
      <c r="G50" s="694">
        <f ca="1">IF(Calc!AU131&lt;0,0,IF(Calc!AU131&lt;=$L$8,Calc!AU131,$L$8))</f>
        <v>260</v>
      </c>
    </row>
    <row r="51" spans="2:23">
      <c r="B51" s="695">
        <f ca="1">IF(Calc!U132&lt;$L$6,Calc!U132,IF(B50&gt;$L$6,B50,B50))</f>
        <v>1653.3333333333335</v>
      </c>
      <c r="C51" s="694">
        <f ca="1">IF(Calc!AB132&lt;0,0,IF(Calc!AB132&lt;=$L$8,Calc!AB132,$L$8))</f>
        <v>0</v>
      </c>
      <c r="D51" s="695">
        <f ca="1">IF(Calc!AE132&lt;$L$5,Calc!AE132,IF(D50&gt;$L$5,D50,D50))</f>
        <v>826.66666666666674</v>
      </c>
      <c r="E51" s="694">
        <f ca="1">IF(Calc!AL132&lt;0,0,IF(Calc!AL132&lt;=$L$8,Calc!AL132,$L$8))</f>
        <v>0</v>
      </c>
      <c r="F51" s="695">
        <f ca="1">IF(Calc!AN132&lt;$L$4,Calc!AN132,IF(F50&gt;$L$5,F50,F50))</f>
        <v>413.33333333333337</v>
      </c>
      <c r="G51" s="694">
        <f ca="1">IF(Calc!AU132&lt;0,0,IF(Calc!AU132&lt;=$L$8,Calc!AU132,$L$8))</f>
        <v>250</v>
      </c>
    </row>
    <row r="52" spans="2:23">
      <c r="B52" s="695">
        <f ca="1">IF(Calc!U133&lt;$L$6,Calc!U133,IF(B51&gt;$L$6,B51,B51))</f>
        <v>1653.3333333333335</v>
      </c>
      <c r="C52" s="694">
        <f ca="1">IF(Calc!AB133&lt;0,0,IF(Calc!AB133&lt;=$L$8,Calc!AB133,$L$8))</f>
        <v>0</v>
      </c>
      <c r="D52" s="695">
        <f ca="1">IF(Calc!AE133&lt;$L$5,Calc!AE133,IF(D51&gt;$L$5,D51,D51))</f>
        <v>826.66666666666674</v>
      </c>
      <c r="E52" s="694">
        <f ca="1">IF(Calc!AL133&lt;0,0,IF(Calc!AL133&lt;=$L$8,Calc!AL133,$L$8))</f>
        <v>0</v>
      </c>
      <c r="F52" s="695">
        <f ca="1">IF(Calc!AN133&lt;$L$4,Calc!AN133,IF(F51&gt;$L$5,F51,F51))</f>
        <v>413.33333333333337</v>
      </c>
      <c r="G52" s="694">
        <f ca="1">IF(Calc!AU133&lt;0,0,IF(Calc!AU133&lt;=$L$8,Calc!AU133,$L$8))</f>
        <v>240</v>
      </c>
    </row>
    <row r="53" spans="2:23">
      <c r="B53" s="695">
        <f ca="1">IF(Calc!U134&lt;$L$6,Calc!U134,IF(B52&gt;$L$6,B52,B52))</f>
        <v>1653.3333333333335</v>
      </c>
      <c r="C53" s="694">
        <f ca="1">IF(Calc!AB134&lt;0,0,IF(Calc!AB134&lt;=$L$8,Calc!AB134,$L$8))</f>
        <v>0</v>
      </c>
      <c r="D53" s="695">
        <f ca="1">IF(Calc!AE134&lt;$L$5,Calc!AE134,IF(D52&gt;$L$5,D52,D52))</f>
        <v>826.66666666666674</v>
      </c>
      <c r="E53" s="694">
        <f ca="1">IF(Calc!AL134&lt;0,0,IF(Calc!AL134&lt;=$L$8,Calc!AL134,$L$8))</f>
        <v>0</v>
      </c>
      <c r="F53" s="695">
        <f ca="1">IF(Calc!AN134&lt;$L$4,Calc!AN134,IF(F52&gt;$L$5,F52,F52))</f>
        <v>413.33333333333337</v>
      </c>
      <c r="G53" s="694">
        <f ca="1">IF(Calc!AU134&lt;0,0,IF(Calc!AU134&lt;=$L$8,Calc!AU134,$L$8))</f>
        <v>230</v>
      </c>
    </row>
    <row r="54" spans="2:23">
      <c r="B54" s="695">
        <f ca="1">IF(Calc!U135&lt;$L$6,Calc!U135,IF(B53&gt;$L$6,B53,B53))</f>
        <v>1653.3333333333335</v>
      </c>
      <c r="C54" s="694">
        <f ca="1">IF(Calc!AB135&lt;0,0,IF(Calc!AB135&lt;=$L$8,Calc!AB135,$L$8))</f>
        <v>0</v>
      </c>
      <c r="D54" s="695">
        <f ca="1">IF(Calc!AE135&lt;$L$5,Calc!AE135,IF(D53&gt;$L$5,D53,D53))</f>
        <v>826.66666666666674</v>
      </c>
      <c r="E54" s="694">
        <f ca="1">IF(Calc!AL135&lt;0,0,IF(Calc!AL135&lt;=$L$8,Calc!AL135,$L$8))</f>
        <v>0</v>
      </c>
      <c r="F54" s="695">
        <f ca="1">IF(Calc!AN135&lt;$L$4,Calc!AN135,IF(F53&gt;$L$5,F53,F53))</f>
        <v>413.33333333333337</v>
      </c>
      <c r="G54" s="694">
        <f ca="1">IF(Calc!AU135&lt;0,0,IF(Calc!AU135&lt;=$L$8,Calc!AU135,$L$8))</f>
        <v>220</v>
      </c>
    </row>
    <row r="55" spans="2:23">
      <c r="B55" s="695">
        <f ca="1">IF(Calc!U136&lt;$L$6,Calc!U136,IF(B54&gt;$L$6,B54,B54))</f>
        <v>1653.3333333333335</v>
      </c>
      <c r="C55" s="694">
        <f ca="1">IF(Calc!AB136&lt;0,0,IF(Calc!AB136&lt;=$L$8,Calc!AB136,$L$8))</f>
        <v>0</v>
      </c>
      <c r="D55" s="695">
        <f ca="1">IF(Calc!AE136&lt;$L$5,Calc!AE136,IF(D54&gt;$L$5,D54,D54))</f>
        <v>826.66666666666674</v>
      </c>
      <c r="E55" s="694">
        <f ca="1">IF(Calc!AL136&lt;0,0,IF(Calc!AL136&lt;=$L$8,Calc!AL136,$L$8))</f>
        <v>0</v>
      </c>
      <c r="F55" s="695">
        <f ca="1">IF(Calc!AN136&lt;$L$4,Calc!AN136,IF(F54&gt;$L$5,F54,F54))</f>
        <v>413.33333333333337</v>
      </c>
      <c r="G55" s="694">
        <f ca="1">IF(Calc!AU136&lt;0,0,IF(Calc!AU136&lt;=$L$8,Calc!AU136,$L$8))</f>
        <v>211</v>
      </c>
    </row>
    <row r="56" spans="2:23">
      <c r="B56" s="695">
        <f ca="1">IF(Calc!U137&lt;$L$6,Calc!U137,IF(B55&gt;$L$6,B55,B55))</f>
        <v>1653.3333333333335</v>
      </c>
      <c r="C56" s="694">
        <f>IF(Calc!AB137&lt;0,0,IF(Calc!AB137&lt;=$L$8,Calc!AB137,$L$8))</f>
        <v>0</v>
      </c>
      <c r="D56" s="695">
        <f ca="1">IF(Calc!AE137&lt;$L$5,Calc!AE137,IF(D55&gt;$L$5,D55,D55))</f>
        <v>826.66666666666674</v>
      </c>
      <c r="E56" s="694">
        <f>IF(Calc!AL137&lt;0,0,IF(Calc!AL137&lt;=$L$8,Calc!AL137,$L$8))</f>
        <v>0</v>
      </c>
      <c r="F56" s="695">
        <f ca="1">IF(Calc!AN137&lt;$L$4,Calc!AN137,IF(F55&gt;$L$5,F55,F55))</f>
        <v>413.33333333333337</v>
      </c>
      <c r="G56" s="694">
        <f>IF(Calc!AU137&lt;0,0,IF(Calc!AU137&lt;=$L$8,Calc!AU137,$L$8))</f>
        <v>0</v>
      </c>
    </row>
    <row r="57" spans="2:23">
      <c r="L57" s="692" t="s">
        <v>1854</v>
      </c>
      <c r="S57" s="692" t="s">
        <v>1901</v>
      </c>
    </row>
    <row r="58" spans="2:23">
      <c r="D58" s="691" t="s">
        <v>1858</v>
      </c>
      <c r="L58" s="1066" t="s">
        <v>1857</v>
      </c>
      <c r="M58" s="1066"/>
      <c r="N58" s="1066"/>
      <c r="O58" s="1066"/>
      <c r="P58" s="1066"/>
    </row>
    <row r="59" spans="2:23">
      <c r="B59" s="690" t="s">
        <v>1769</v>
      </c>
      <c r="D59" s="691" t="s">
        <v>373</v>
      </c>
      <c r="E59" s="691">
        <v>5.8</v>
      </c>
      <c r="F59" s="691" t="s">
        <v>7</v>
      </c>
      <c r="K59" s="719" t="s">
        <v>1881</v>
      </c>
      <c r="M59" s="692" t="s">
        <v>1881</v>
      </c>
      <c r="O59" s="692" t="s">
        <v>1881</v>
      </c>
    </row>
    <row r="60" spans="2:23">
      <c r="K60" s="721"/>
      <c r="L60" s="690" t="s">
        <v>1814</v>
      </c>
      <c r="M60" s="690"/>
      <c r="N60" s="690" t="s">
        <v>1815</v>
      </c>
      <c r="O60" s="690"/>
      <c r="P60" s="690" t="s">
        <v>1816</v>
      </c>
      <c r="S60" s="690" t="s">
        <v>1814</v>
      </c>
      <c r="T60" s="690"/>
      <c r="U60" s="690" t="s">
        <v>1815</v>
      </c>
      <c r="V60" s="690"/>
      <c r="W60" s="690" t="s">
        <v>1816</v>
      </c>
    </row>
    <row r="61" spans="2:23">
      <c r="B61" s="690" t="s">
        <v>1814</v>
      </c>
      <c r="D61" s="690" t="s">
        <v>1815</v>
      </c>
      <c r="F61" s="690" t="s">
        <v>1816</v>
      </c>
      <c r="H61" s="692" t="s">
        <v>1850</v>
      </c>
      <c r="I61" s="690" t="s">
        <v>1880</v>
      </c>
      <c r="K61" s="722">
        <v>0</v>
      </c>
    </row>
    <row r="62" spans="2:23">
      <c r="B62" s="691" t="s">
        <v>12</v>
      </c>
      <c r="C62" s="691" t="s">
        <v>1855</v>
      </c>
      <c r="D62" s="691" t="s">
        <v>12</v>
      </c>
      <c r="E62" s="691" t="s">
        <v>1855</v>
      </c>
      <c r="F62" s="691" t="s">
        <v>12</v>
      </c>
      <c r="G62" s="691" t="s">
        <v>1855</v>
      </c>
      <c r="H62" s="692" t="s">
        <v>50</v>
      </c>
      <c r="I62" s="690" t="s">
        <v>1882</v>
      </c>
      <c r="K62" s="690"/>
      <c r="L62" s="692" t="s">
        <v>1855</v>
      </c>
      <c r="N62" s="691" t="s">
        <v>1855</v>
      </c>
      <c r="P62" s="691" t="s">
        <v>1855</v>
      </c>
      <c r="R62" s="692" t="s">
        <v>12</v>
      </c>
      <c r="S62" s="692" t="s">
        <v>1855</v>
      </c>
      <c r="T62" s="692" t="s">
        <v>12</v>
      </c>
      <c r="U62" s="691" t="s">
        <v>1855</v>
      </c>
      <c r="V62" s="692" t="s">
        <v>12</v>
      </c>
      <c r="W62" s="691" t="s">
        <v>1855</v>
      </c>
    </row>
    <row r="63" spans="2:23">
      <c r="B63" s="691">
        <f>IF(Calc!AZ86&lt;$L$6,Calc!AZ86,$L$6)</f>
        <v>0</v>
      </c>
      <c r="C63" s="692">
        <f ca="1">IF(Calc!BB86&lt;0,0,IF(Calc!BB86&lt;=$L$8,Calc!BB86,$L$8))</f>
        <v>548</v>
      </c>
      <c r="D63" s="692">
        <f>IF(Calc!BF86&lt;$L$5,Calc!BF86,$L$5)</f>
        <v>0</v>
      </c>
      <c r="E63" s="691">
        <f ca="1">IF(Calc!BH86&lt;0,0,IF(Calc!BH86&lt;=$L$8,Calc!BH86,$L$8))</f>
        <v>1148</v>
      </c>
      <c r="F63" s="691">
        <f>IF(Calc!BL86&lt;$L$4,Calc!BL86,$L$4)</f>
        <v>0</v>
      </c>
      <c r="G63" s="691">
        <f ca="1">IF(Calc!BN86&lt;0,0,IF(Calc!BN86&lt;=$L$8,Calc!BN86,$L$8))</f>
        <v>2396</v>
      </c>
      <c r="H63" s="696">
        <f ca="1">Calc!BJ86</f>
        <v>2.7600000000000002</v>
      </c>
      <c r="I63" s="691">
        <f ca="1">IF(AND(H63&gt;$E$59,I62&lt;&gt;0),1,0)</f>
        <v>0</v>
      </c>
      <c r="K63" s="691">
        <f ca="1">IF(I63=1,MATCH($K$61,$I$63:$I$114,0),C63)</f>
        <v>548</v>
      </c>
      <c r="L63" s="716">
        <f ca="1">IF(C63&lt;0,0,IF(K63&lt;&gt;C63,OFFSET(B62,K63,1,1,1),C63))</f>
        <v>548</v>
      </c>
      <c r="M63" s="691">
        <f ca="1">IF(I63=1,MATCH($K$61,$I$63:$I$114,0),E63)</f>
        <v>1148</v>
      </c>
      <c r="N63" s="716">
        <f ca="1">IF(E63&lt;0,0,IF(M63&lt;&gt;E63,OFFSET(D62,M63,1,1,1),E63))</f>
        <v>1148</v>
      </c>
      <c r="O63" s="691">
        <f ca="1">IF(I63=1,MATCH($K$61,I63:$I$114,0),G63)</f>
        <v>2396</v>
      </c>
      <c r="P63" s="716">
        <f ca="1">IF(G63&lt;0,0,IF(O63&lt;&gt;G63,OFFSET(F62,O63,1,1,1),G63))</f>
        <v>2396</v>
      </c>
      <c r="R63" s="691">
        <f>B5</f>
        <v>0</v>
      </c>
      <c r="S63" s="691">
        <f t="shared" ref="S63:W78" ca="1" si="0">C5</f>
        <v>121</v>
      </c>
      <c r="T63" s="691">
        <f t="shared" si="0"/>
        <v>0</v>
      </c>
      <c r="U63" s="691">
        <f t="shared" ca="1" si="0"/>
        <v>293</v>
      </c>
      <c r="V63" s="691">
        <f t="shared" si="0"/>
        <v>0</v>
      </c>
      <c r="W63" s="691">
        <f t="shared" ca="1" si="0"/>
        <v>686</v>
      </c>
    </row>
    <row r="64" spans="2:23">
      <c r="B64" s="695">
        <f ca="1">IF(Calc!AZ87&lt;$L$6,Calc!AZ87,$L$6)</f>
        <v>1666.6666666666665</v>
      </c>
      <c r="C64" s="692">
        <f ca="1">IF(Calc!BB87&lt;0,0,IF(Calc!BB87&lt;=$L$8,Calc!BB87,$L$8))</f>
        <v>393</v>
      </c>
      <c r="D64" s="697">
        <f ca="1">IF(Calc!BF87&lt;$L$5,Calc!BF87,$L$5)</f>
        <v>833.33333333333326</v>
      </c>
      <c r="E64" s="691">
        <f ca="1">IF(Calc!BH87&lt;0,0,IF(Calc!BH87&lt;=$L$8,Calc!BH87,$L$8))</f>
        <v>941</v>
      </c>
      <c r="F64" s="695">
        <f ca="1">IF(Calc!BL87&lt;$L$4,Calc!BL87,$L$4)</f>
        <v>416.66666666666663</v>
      </c>
      <c r="G64" s="691">
        <f ca="1">IF(Calc!BN87&lt;0,0,IF(Calc!BN87&lt;=$L$8,Calc!BN87,$L$8))</f>
        <v>2189</v>
      </c>
      <c r="H64" s="696">
        <f ca="1">Calc!BJ87</f>
        <v>2.7600000000000002</v>
      </c>
      <c r="I64" s="691">
        <f t="shared" ref="I64:I114" ca="1" si="1">IF(AND(H64&gt;$E$59,I63&lt;&gt;0),1,0)</f>
        <v>0</v>
      </c>
      <c r="K64" s="691">
        <f ca="1">IF(I64=1,MATCH($K$61,I64:$I$114,0),C64)</f>
        <v>393</v>
      </c>
      <c r="L64" s="716">
        <f t="shared" ref="L64:L114" ca="1" si="2">IF(C64&lt;0,0,IF(K64&lt;&gt;C64,OFFSET(B63,K64,1,1,1),C64))</f>
        <v>393</v>
      </c>
      <c r="M64" s="691">
        <f ca="1">IF(I64=1,MATCH($K$61,I64:$I$114,0),E64)</f>
        <v>941</v>
      </c>
      <c r="N64" s="716">
        <f t="shared" ref="N64:N114" ca="1" si="3">IF(E64&lt;0,0,IF(M64&lt;&gt;E64,OFFSET(D63,M64,1,1,1),E64))</f>
        <v>941</v>
      </c>
      <c r="O64" s="691">
        <f ca="1">IF(I64=1,MATCH($K$61,I64:$I$114,0),G64)</f>
        <v>2189</v>
      </c>
      <c r="P64" s="716">
        <f t="shared" ref="P64:P114" ca="1" si="4">IF(G64&lt;0,0,IF(O64&lt;&gt;G64,OFFSET(F63,O64,1,1,1),G64))</f>
        <v>2189</v>
      </c>
      <c r="R64" s="695">
        <f t="shared" ref="R64:S114" ca="1" si="5">B6</f>
        <v>53.333333333333329</v>
      </c>
      <c r="S64" s="691">
        <f t="shared" ca="1" si="0"/>
        <v>115</v>
      </c>
      <c r="T64" s="695">
        <f t="shared" ref="T64:U114" ca="1" si="6">D6</f>
        <v>26.666666666666664</v>
      </c>
      <c r="U64" s="691">
        <f t="shared" ca="1" si="0"/>
        <v>285</v>
      </c>
      <c r="V64" s="695">
        <f t="shared" ref="V64:W114" ca="1" si="7">F6</f>
        <v>13.333333333333332</v>
      </c>
      <c r="W64" s="691">
        <f t="shared" ca="1" si="0"/>
        <v>677</v>
      </c>
    </row>
    <row r="65" spans="2:23">
      <c r="B65" s="695">
        <f ca="1">IF(Calc!AZ88&lt;$L$6,Calc!AZ88,$L$6)</f>
        <v>1666.6666666666665</v>
      </c>
      <c r="C65" s="692">
        <f ca="1">IF(Calc!BB88&lt;0,0,IF(Calc!BB88&lt;=$L$8,Calc!BB88,$L$8))</f>
        <v>382</v>
      </c>
      <c r="D65" s="697">
        <f ca="1">IF(Calc!BF88&lt;$L$5,Calc!BF88,$L$5)</f>
        <v>833.33333333333326</v>
      </c>
      <c r="E65" s="691">
        <f ca="1">IF(Calc!BH88&lt;0,0,IF(Calc!BH88&lt;=$L$8,Calc!BH88,$L$8))</f>
        <v>919</v>
      </c>
      <c r="F65" s="695">
        <f ca="1">IF(Calc!BL88&lt;$L$4,Calc!BL88,$L$4)</f>
        <v>416.66666666666663</v>
      </c>
      <c r="G65" s="691">
        <f ca="1">IF(Calc!BN88&lt;0,0,IF(Calc!BN88&lt;=$L$8,Calc!BN88,$L$8))</f>
        <v>2149</v>
      </c>
      <c r="H65" s="696">
        <f ca="1">Calc!BJ88</f>
        <v>2.7194116923076921</v>
      </c>
      <c r="I65" s="691">
        <f t="shared" ca="1" si="1"/>
        <v>0</v>
      </c>
      <c r="K65" s="691">
        <f ca="1">IF(I65=1,MATCH($K$61,I65:$I$114,0),C65)</f>
        <v>382</v>
      </c>
      <c r="L65" s="716">
        <f t="shared" ca="1" si="2"/>
        <v>382</v>
      </c>
      <c r="M65" s="691">
        <f ca="1">IF(I65=1,MATCH($K$61,I65:$I$114,0),E65)</f>
        <v>919</v>
      </c>
      <c r="N65" s="716">
        <f t="shared" ca="1" si="3"/>
        <v>919</v>
      </c>
      <c r="O65" s="691">
        <f ca="1">IF(I65=1,MATCH($K$61,I65:$I$114,0),G65)</f>
        <v>2149</v>
      </c>
      <c r="P65" s="716">
        <f t="shared" ca="1" si="4"/>
        <v>2149</v>
      </c>
      <c r="R65" s="695">
        <f t="shared" ca="1" si="5"/>
        <v>106.66666666666666</v>
      </c>
      <c r="S65" s="691">
        <f t="shared" ca="1" si="0"/>
        <v>110</v>
      </c>
      <c r="T65" s="695">
        <f t="shared" ca="1" si="6"/>
        <v>53.333333333333329</v>
      </c>
      <c r="U65" s="691">
        <f t="shared" ca="1" si="0"/>
        <v>277</v>
      </c>
      <c r="V65" s="695">
        <f t="shared" ca="1" si="7"/>
        <v>26.666666666666664</v>
      </c>
      <c r="W65" s="691">
        <f t="shared" ca="1" si="0"/>
        <v>667</v>
      </c>
    </row>
    <row r="66" spans="2:23">
      <c r="B66" s="695">
        <f ca="1">IF(Calc!AZ89&lt;$L$6,Calc!AZ89,$L$6)</f>
        <v>1666.6666666666665</v>
      </c>
      <c r="C66" s="692">
        <f ca="1">IF(Calc!BB89&lt;0,0,IF(Calc!BB89&lt;=$L$8,Calc!BB89,$L$8))</f>
        <v>370</v>
      </c>
      <c r="D66" s="697">
        <f ca="1">IF(Calc!BF89&lt;$L$5,Calc!BF89,$L$5)</f>
        <v>833.33333333333326</v>
      </c>
      <c r="E66" s="691">
        <f ca="1">IF(Calc!BH89&lt;0,0,IF(Calc!BH89&lt;=$L$8,Calc!BH89,$L$8))</f>
        <v>897</v>
      </c>
      <c r="F66" s="695">
        <f ca="1">IF(Calc!BL89&lt;$L$4,Calc!BL89,$L$4)</f>
        <v>416.66666666666663</v>
      </c>
      <c r="G66" s="691">
        <f ca="1">IF(Calc!BN89&lt;0,0,IF(Calc!BN89&lt;=$L$8,Calc!BN89,$L$8))</f>
        <v>2109</v>
      </c>
      <c r="H66" s="696">
        <f ca="1">Calc!BJ89</f>
        <v>2.6782269890109891</v>
      </c>
      <c r="I66" s="691">
        <f t="shared" ca="1" si="1"/>
        <v>0</v>
      </c>
      <c r="K66" s="691">
        <f ca="1">IF(I66=1,MATCH($K$61,I66:$I$114,0),C66)</f>
        <v>370</v>
      </c>
      <c r="L66" s="716">
        <f t="shared" ca="1" si="2"/>
        <v>370</v>
      </c>
      <c r="M66" s="691">
        <f ca="1">IF(I66=1,MATCH($K$61,I66:$I$114,0),E66)</f>
        <v>897</v>
      </c>
      <c r="N66" s="716">
        <f t="shared" ca="1" si="3"/>
        <v>897</v>
      </c>
      <c r="O66" s="691">
        <f ca="1">IF(I66=1,MATCH($K$61,I66:$I$114,0),G66)</f>
        <v>2109</v>
      </c>
      <c r="P66" s="716">
        <f t="shared" ca="1" si="4"/>
        <v>2109</v>
      </c>
      <c r="R66" s="695">
        <f t="shared" ca="1" si="5"/>
        <v>160</v>
      </c>
      <c r="S66" s="691">
        <f t="shared" ca="1" si="0"/>
        <v>104</v>
      </c>
      <c r="T66" s="695">
        <f t="shared" ca="1" si="6"/>
        <v>80</v>
      </c>
      <c r="U66" s="691">
        <f t="shared" ca="1" si="0"/>
        <v>269</v>
      </c>
      <c r="V66" s="695">
        <f t="shared" ca="1" si="7"/>
        <v>40</v>
      </c>
      <c r="W66" s="691">
        <f t="shared" ca="1" si="0"/>
        <v>658</v>
      </c>
    </row>
    <row r="67" spans="2:23">
      <c r="B67" s="695">
        <f ca="1">IF(Calc!AZ90&lt;$L$6,Calc!AZ90,$L$6)</f>
        <v>1666.6666666666665</v>
      </c>
      <c r="C67" s="692">
        <f ca="1">IF(Calc!BB90&lt;0,0,IF(Calc!BB90&lt;=$L$8,Calc!BB90,$L$8))</f>
        <v>358</v>
      </c>
      <c r="D67" s="697">
        <f ca="1">IF(Calc!BF90&lt;$L$5,Calc!BF90,$L$5)</f>
        <v>833.33333333333326</v>
      </c>
      <c r="E67" s="691">
        <f ca="1">IF(Calc!BH90&lt;0,0,IF(Calc!BH90&lt;=$L$8,Calc!BH90,$L$8))</f>
        <v>875</v>
      </c>
      <c r="F67" s="695">
        <f ca="1">IF(Calc!BL90&lt;$L$4,Calc!BL90,$L$4)</f>
        <v>416.66666666666663</v>
      </c>
      <c r="G67" s="691">
        <f ca="1">IF(Calc!BN90&lt;0,0,IF(Calc!BN90&lt;=$L$8,Calc!BN90,$L$8))</f>
        <v>2068</v>
      </c>
      <c r="H67" s="696">
        <f ca="1">Calc!BJ90</f>
        <v>2.6364458901098904</v>
      </c>
      <c r="I67" s="691">
        <f t="shared" ca="1" si="1"/>
        <v>0</v>
      </c>
      <c r="K67" s="691">
        <f ca="1">IF(I67=1,MATCH($K$61,I67:$I$114,0),C67)</f>
        <v>358</v>
      </c>
      <c r="L67" s="716">
        <f t="shared" ca="1" si="2"/>
        <v>358</v>
      </c>
      <c r="M67" s="691">
        <f ca="1">IF(I67=1,MATCH($K$61,I67:$I$114,0),E67)</f>
        <v>875</v>
      </c>
      <c r="N67" s="716">
        <f t="shared" ca="1" si="3"/>
        <v>875</v>
      </c>
      <c r="O67" s="691">
        <f ca="1">IF(I67=1,MATCH($K$61,I67:$I$114,0),G67)</f>
        <v>2068</v>
      </c>
      <c r="P67" s="716">
        <f t="shared" ca="1" si="4"/>
        <v>2068</v>
      </c>
      <c r="R67" s="695">
        <f t="shared" ca="1" si="5"/>
        <v>213.33333333333331</v>
      </c>
      <c r="S67" s="691">
        <f t="shared" ca="1" si="0"/>
        <v>99</v>
      </c>
      <c r="T67" s="695">
        <f t="shared" ca="1" si="6"/>
        <v>106.66666666666666</v>
      </c>
      <c r="U67" s="691">
        <f t="shared" ca="1" si="0"/>
        <v>261</v>
      </c>
      <c r="V67" s="695">
        <f t="shared" ca="1" si="7"/>
        <v>53.333333333333329</v>
      </c>
      <c r="W67" s="691">
        <f t="shared" ca="1" si="0"/>
        <v>649</v>
      </c>
    </row>
    <row r="68" spans="2:23">
      <c r="B68" s="695">
        <f ca="1">IF(Calc!AZ91&lt;$L$6,Calc!AZ91,$L$6)</f>
        <v>1666.6666666666665</v>
      </c>
      <c r="C68" s="692">
        <f ca="1">IF(Calc!BB91&lt;0,0,IF(Calc!BB91&lt;=$L$8,Calc!BB91,$L$8))</f>
        <v>346</v>
      </c>
      <c r="D68" s="697">
        <f ca="1">IF(Calc!BF91&lt;$L$5,Calc!BF91,$L$5)</f>
        <v>833.33333333333326</v>
      </c>
      <c r="E68" s="691">
        <f ca="1">IF(Calc!BH91&lt;0,0,IF(Calc!BH91&lt;=$L$8,Calc!BH91,$L$8))</f>
        <v>853</v>
      </c>
      <c r="F68" s="695">
        <f ca="1">IF(Calc!BL91&lt;$L$4,Calc!BL91,$L$4)</f>
        <v>416.66666666666663</v>
      </c>
      <c r="G68" s="691">
        <f ca="1">IF(Calc!BN91&lt;0,0,IF(Calc!BN91&lt;=$L$8,Calc!BN91,$L$8))</f>
        <v>2026</v>
      </c>
      <c r="H68" s="696">
        <f ca="1">Calc!BJ91</f>
        <v>2.5940683956043955</v>
      </c>
      <c r="I68" s="691">
        <f t="shared" ca="1" si="1"/>
        <v>0</v>
      </c>
      <c r="K68" s="691">
        <f ca="1">IF(I68=1,MATCH($K$61,I68:$I$114,0),C68)</f>
        <v>346</v>
      </c>
      <c r="L68" s="716">
        <f t="shared" ca="1" si="2"/>
        <v>346</v>
      </c>
      <c r="M68" s="691">
        <f ca="1">IF(I68=1,MATCH($K$61,I68:$I$114,0),E68)</f>
        <v>853</v>
      </c>
      <c r="N68" s="716">
        <f t="shared" ca="1" si="3"/>
        <v>853</v>
      </c>
      <c r="O68" s="691">
        <f ca="1">IF(I68=1,MATCH($K$61,I68:$I$114,0),G68)</f>
        <v>2026</v>
      </c>
      <c r="P68" s="716">
        <f t="shared" ca="1" si="4"/>
        <v>2026</v>
      </c>
      <c r="R68" s="695">
        <f t="shared" ca="1" si="5"/>
        <v>266.66666666666669</v>
      </c>
      <c r="S68" s="691">
        <f t="shared" ca="1" si="0"/>
        <v>93</v>
      </c>
      <c r="T68" s="695">
        <f t="shared" ca="1" si="6"/>
        <v>133.33333333333334</v>
      </c>
      <c r="U68" s="691">
        <f t="shared" ca="1" si="0"/>
        <v>253</v>
      </c>
      <c r="V68" s="695">
        <f t="shared" ca="1" si="7"/>
        <v>66.666666666666671</v>
      </c>
      <c r="W68" s="691">
        <f t="shared" ca="1" si="0"/>
        <v>639</v>
      </c>
    </row>
    <row r="69" spans="2:23">
      <c r="B69" s="695">
        <f ca="1">IF(Calc!AZ92&lt;$L$6,Calc!AZ92,$L$6)</f>
        <v>1666.6666666666665</v>
      </c>
      <c r="C69" s="692">
        <f ca="1">IF(Calc!BB92&lt;0,0,IF(Calc!BB92&lt;=$L$8,Calc!BB92,$L$8))</f>
        <v>334</v>
      </c>
      <c r="D69" s="697">
        <f ca="1">IF(Calc!BF92&lt;$L$5,Calc!BF92,$L$5)</f>
        <v>833.33333333333326</v>
      </c>
      <c r="E69" s="691">
        <f ca="1">IF(Calc!BH92&lt;0,0,IF(Calc!BH92&lt;=$L$8,Calc!BH92,$L$8))</f>
        <v>830</v>
      </c>
      <c r="F69" s="695">
        <f ca="1">IF(Calc!BL92&lt;$L$4,Calc!BL92,$L$4)</f>
        <v>416.66666666666663</v>
      </c>
      <c r="G69" s="691">
        <f ca="1">IF(Calc!BN92&lt;0,0,IF(Calc!BN92&lt;=$L$8,Calc!BN92,$L$8))</f>
        <v>1984</v>
      </c>
      <c r="H69" s="696">
        <f ca="1">Calc!BJ92</f>
        <v>2.5510945054945053</v>
      </c>
      <c r="I69" s="691">
        <f t="shared" ca="1" si="1"/>
        <v>0</v>
      </c>
      <c r="K69" s="691">
        <f ca="1">IF(I69=1,MATCH($K$61,I69:$I$114,0),C69)</f>
        <v>334</v>
      </c>
      <c r="L69" s="716">
        <f t="shared" ca="1" si="2"/>
        <v>334</v>
      </c>
      <c r="M69" s="691">
        <f ca="1">IF(I69=1,MATCH($K$61,I69:$I$114,0),E69)</f>
        <v>830</v>
      </c>
      <c r="N69" s="716">
        <f t="shared" ca="1" si="3"/>
        <v>830</v>
      </c>
      <c r="O69" s="691">
        <f ca="1">IF(I69=1,MATCH($K$61,I69:$I$114,0),G69)</f>
        <v>1984</v>
      </c>
      <c r="P69" s="716">
        <f t="shared" ca="1" si="4"/>
        <v>1984</v>
      </c>
      <c r="R69" s="695">
        <f t="shared" ca="1" si="5"/>
        <v>320</v>
      </c>
      <c r="S69" s="691">
        <f t="shared" ca="1" si="0"/>
        <v>88</v>
      </c>
      <c r="T69" s="695">
        <f t="shared" ca="1" si="6"/>
        <v>160</v>
      </c>
      <c r="U69" s="691">
        <f t="shared" ca="1" si="0"/>
        <v>245</v>
      </c>
      <c r="V69" s="695">
        <f t="shared" ca="1" si="7"/>
        <v>80</v>
      </c>
      <c r="W69" s="691">
        <f t="shared" ca="1" si="0"/>
        <v>630</v>
      </c>
    </row>
    <row r="70" spans="2:23">
      <c r="B70" s="695">
        <f ca="1">IF(Calc!AZ93&lt;$L$6,Calc!AZ93,$L$6)</f>
        <v>1666.6666666666665</v>
      </c>
      <c r="C70" s="692">
        <f ca="1">IF(Calc!BB93&lt;0,0,IF(Calc!BB93&lt;=$L$8,Calc!BB93,$L$8))</f>
        <v>321</v>
      </c>
      <c r="D70" s="697">
        <f ca="1">IF(Calc!BF93&lt;$L$5,Calc!BF93,$L$5)</f>
        <v>833.33333333333326</v>
      </c>
      <c r="E70" s="691">
        <f ca="1">IF(Calc!BH93&lt;0,0,IF(Calc!BH93&lt;=$L$8,Calc!BH93,$L$8))</f>
        <v>807</v>
      </c>
      <c r="F70" s="695">
        <f ca="1">IF(Calc!BL93&lt;$L$4,Calc!BL93,$L$4)</f>
        <v>416.66666666666663</v>
      </c>
      <c r="G70" s="691">
        <f ca="1">IF(Calc!BN93&lt;0,0,IF(Calc!BN93&lt;=$L$8,Calc!BN93,$L$8))</f>
        <v>1941</v>
      </c>
      <c r="H70" s="696">
        <f ca="1">Calc!BJ93</f>
        <v>2.5075242197802194</v>
      </c>
      <c r="I70" s="691">
        <f t="shared" ca="1" si="1"/>
        <v>0</v>
      </c>
      <c r="K70" s="691">
        <f ca="1">IF(I70=1,MATCH($K$61,I70:$I$114,0),C70)</f>
        <v>321</v>
      </c>
      <c r="L70" s="716">
        <f t="shared" ca="1" si="2"/>
        <v>321</v>
      </c>
      <c r="M70" s="691">
        <f ca="1">IF(I70=1,MATCH($K$61,I70:$I$114,0),E70)</f>
        <v>807</v>
      </c>
      <c r="N70" s="716">
        <f t="shared" ca="1" si="3"/>
        <v>807</v>
      </c>
      <c r="O70" s="691">
        <f ca="1">IF(I70=1,MATCH($K$61,I70:$I$114,0),G70)</f>
        <v>1941</v>
      </c>
      <c r="P70" s="716">
        <f t="shared" ca="1" si="4"/>
        <v>1941</v>
      </c>
      <c r="R70" s="695">
        <f t="shared" ca="1" si="5"/>
        <v>373.33333333333337</v>
      </c>
      <c r="S70" s="691">
        <f t="shared" ca="1" si="0"/>
        <v>82</v>
      </c>
      <c r="T70" s="695">
        <f t="shared" ca="1" si="6"/>
        <v>186.66666666666669</v>
      </c>
      <c r="U70" s="691">
        <f t="shared" ca="1" si="0"/>
        <v>238</v>
      </c>
      <c r="V70" s="695">
        <f t="shared" ca="1" si="7"/>
        <v>93.333333333333343</v>
      </c>
      <c r="W70" s="691">
        <f t="shared" ca="1" si="0"/>
        <v>621</v>
      </c>
    </row>
    <row r="71" spans="2:23">
      <c r="B71" s="695">
        <f ca="1">IF(Calc!AZ94&lt;$L$6,Calc!AZ94,$L$6)</f>
        <v>1666.6666666666665</v>
      </c>
      <c r="C71" s="692">
        <f ca="1">IF(Calc!BB94&lt;0,0,IF(Calc!BB94&lt;=$L$8,Calc!BB94,$L$8))</f>
        <v>309</v>
      </c>
      <c r="D71" s="697">
        <f ca="1">IF(Calc!BF94&lt;$L$5,Calc!BF94,$L$5)</f>
        <v>833.33333333333326</v>
      </c>
      <c r="E71" s="691">
        <f ca="1">IF(Calc!BH94&lt;0,0,IF(Calc!BH94&lt;=$L$8,Calc!BH94,$L$8))</f>
        <v>784</v>
      </c>
      <c r="F71" s="695">
        <f ca="1">IF(Calc!BL94&lt;$L$4,Calc!BL94,$L$4)</f>
        <v>416.66666666666663</v>
      </c>
      <c r="G71" s="691">
        <f ca="1">IF(Calc!BN94&lt;0,0,IF(Calc!BN94&lt;=$L$8,Calc!BN94,$L$8))</f>
        <v>1898</v>
      </c>
      <c r="H71" s="696">
        <f ca="1">Calc!BJ94</f>
        <v>2.4633575384615383</v>
      </c>
      <c r="I71" s="691">
        <f t="shared" ca="1" si="1"/>
        <v>0</v>
      </c>
      <c r="K71" s="691">
        <f ca="1">IF(I71=1,MATCH($K$61,I71:$I$114,0),C71)</f>
        <v>309</v>
      </c>
      <c r="L71" s="716">
        <f t="shared" ca="1" si="2"/>
        <v>309</v>
      </c>
      <c r="M71" s="691">
        <f ca="1">IF(I71=1,MATCH($K$61,I71:$I$114,0),E71)</f>
        <v>784</v>
      </c>
      <c r="N71" s="716">
        <f t="shared" ca="1" si="3"/>
        <v>784</v>
      </c>
      <c r="O71" s="691">
        <f ca="1">IF(I71=1,MATCH($K$61,I71:$I$114,0),G71)</f>
        <v>1898</v>
      </c>
      <c r="P71" s="716">
        <f t="shared" ca="1" si="4"/>
        <v>1898</v>
      </c>
      <c r="R71" s="695">
        <f t="shared" ca="1" si="5"/>
        <v>426.66666666666663</v>
      </c>
      <c r="S71" s="691">
        <f t="shared" ca="1" si="0"/>
        <v>77</v>
      </c>
      <c r="T71" s="695">
        <f t="shared" ca="1" si="6"/>
        <v>213.33333333333331</v>
      </c>
      <c r="U71" s="691">
        <f t="shared" ca="1" si="0"/>
        <v>230</v>
      </c>
      <c r="V71" s="695">
        <f t="shared" ca="1" si="7"/>
        <v>106.66666666666666</v>
      </c>
      <c r="W71" s="691">
        <f t="shared" ca="1" si="0"/>
        <v>613</v>
      </c>
    </row>
    <row r="72" spans="2:23">
      <c r="B72" s="695">
        <f ca="1">IF(Calc!AZ95&lt;$L$6,Calc!AZ95,$L$6)</f>
        <v>1666.6666666666665</v>
      </c>
      <c r="C72" s="692">
        <f ca="1">IF(Calc!BB95&lt;0,0,IF(Calc!BB95&lt;=$L$8,Calc!BB95,$L$8))</f>
        <v>296</v>
      </c>
      <c r="D72" s="697">
        <f ca="1">IF(Calc!BF95&lt;$L$5,Calc!BF95,$L$5)</f>
        <v>833.33333333333326</v>
      </c>
      <c r="E72" s="691">
        <f ca="1">IF(Calc!BH95&lt;0,0,IF(Calc!BH95&lt;=$L$8,Calc!BH95,$L$8))</f>
        <v>760</v>
      </c>
      <c r="F72" s="695">
        <f ca="1">IF(Calc!BL95&lt;$L$4,Calc!BL95,$L$4)</f>
        <v>416.66666666666663</v>
      </c>
      <c r="G72" s="691">
        <f ca="1">IF(Calc!BN95&lt;0,0,IF(Calc!BN95&lt;=$L$8,Calc!BN95,$L$8))</f>
        <v>1854</v>
      </c>
      <c r="H72" s="696">
        <f ca="1">Calc!BJ95</f>
        <v>2.4185944615384618</v>
      </c>
      <c r="I72" s="691">
        <f t="shared" ca="1" si="1"/>
        <v>0</v>
      </c>
      <c r="K72" s="691">
        <f ca="1">IF(I72=1,MATCH($K$61,I72:$I$114,0),C72)</f>
        <v>296</v>
      </c>
      <c r="L72" s="716">
        <f t="shared" ca="1" si="2"/>
        <v>296</v>
      </c>
      <c r="M72" s="691">
        <f ca="1">IF(I72=1,MATCH($K$61,I72:$I$114,0),E72)</f>
        <v>760</v>
      </c>
      <c r="N72" s="716">
        <f t="shared" ca="1" si="3"/>
        <v>760</v>
      </c>
      <c r="O72" s="691">
        <f ca="1">IF(I72=1,MATCH($K$61,I72:$I$114,0),G72)</f>
        <v>1854</v>
      </c>
      <c r="P72" s="716">
        <f t="shared" ca="1" si="4"/>
        <v>1854</v>
      </c>
      <c r="R72" s="695">
        <f t="shared" ca="1" si="5"/>
        <v>480</v>
      </c>
      <c r="S72" s="691">
        <f t="shared" ca="1" si="0"/>
        <v>71</v>
      </c>
      <c r="T72" s="695">
        <f t="shared" ca="1" si="6"/>
        <v>240</v>
      </c>
      <c r="U72" s="691">
        <f t="shared" ca="1" si="0"/>
        <v>222</v>
      </c>
      <c r="V72" s="695">
        <f t="shared" ca="1" si="7"/>
        <v>120</v>
      </c>
      <c r="W72" s="691">
        <f t="shared" ca="1" si="0"/>
        <v>604</v>
      </c>
    </row>
    <row r="73" spans="2:23">
      <c r="B73" s="695">
        <f ca="1">IF(Calc!AZ96&lt;$L$6,Calc!AZ96,$L$6)</f>
        <v>1666.6666666666665</v>
      </c>
      <c r="C73" s="692">
        <f ca="1">IF(Calc!BB96&lt;0,0,IF(Calc!BB96&lt;=$L$8,Calc!BB96,$L$8))</f>
        <v>283</v>
      </c>
      <c r="D73" s="697">
        <f ca="1">IF(Calc!BF96&lt;$L$5,Calc!BF96,$L$5)</f>
        <v>833.33333333333326</v>
      </c>
      <c r="E73" s="691">
        <f ca="1">IF(Calc!BH96&lt;0,0,IF(Calc!BH96&lt;=$L$8,Calc!BH96,$L$8))</f>
        <v>736</v>
      </c>
      <c r="F73" s="695">
        <f ca="1">IF(Calc!BL96&lt;$L$4,Calc!BL96,$L$4)</f>
        <v>416.66666666666663</v>
      </c>
      <c r="G73" s="691">
        <f ca="1">IF(Calc!BN96&lt;0,0,IF(Calc!BN96&lt;=$L$8,Calc!BN96,$L$8))</f>
        <v>1809</v>
      </c>
      <c r="H73" s="696">
        <f ca="1">Calc!BJ96</f>
        <v>2.3732349890109892</v>
      </c>
      <c r="I73" s="691">
        <f t="shared" ca="1" si="1"/>
        <v>0</v>
      </c>
      <c r="K73" s="691">
        <f ca="1">IF(I73=1,MATCH($K$61,I73:$I$114,0),C73)</f>
        <v>283</v>
      </c>
      <c r="L73" s="716">
        <f t="shared" ca="1" si="2"/>
        <v>283</v>
      </c>
      <c r="M73" s="691">
        <f ca="1">IF(I73=1,MATCH($K$61,I73:$I$114,0),E73)</f>
        <v>736</v>
      </c>
      <c r="N73" s="716">
        <f t="shared" ca="1" si="3"/>
        <v>736</v>
      </c>
      <c r="O73" s="691">
        <f ca="1">IF(I73=1,MATCH($K$61,I73:$I$114,0),G73)</f>
        <v>1809</v>
      </c>
      <c r="P73" s="716">
        <f t="shared" ca="1" si="4"/>
        <v>1809</v>
      </c>
      <c r="R73" s="695">
        <f t="shared" ca="1" si="5"/>
        <v>533.33333333333337</v>
      </c>
      <c r="S73" s="691">
        <f t="shared" ca="1" si="0"/>
        <v>66</v>
      </c>
      <c r="T73" s="695">
        <f t="shared" ca="1" si="6"/>
        <v>266.66666666666669</v>
      </c>
      <c r="U73" s="691">
        <f t="shared" ca="1" si="0"/>
        <v>215</v>
      </c>
      <c r="V73" s="695">
        <f t="shared" ca="1" si="7"/>
        <v>133.33333333333334</v>
      </c>
      <c r="W73" s="691">
        <f t="shared" ca="1" si="0"/>
        <v>595</v>
      </c>
    </row>
    <row r="74" spans="2:23">
      <c r="B74" s="695">
        <f ca="1">IF(Calc!AZ97&lt;$L$6,Calc!AZ97,$L$6)</f>
        <v>1666.6666666666665</v>
      </c>
      <c r="C74" s="692">
        <f ca="1">IF(Calc!BB97&lt;0,0,IF(Calc!BB97&lt;=$L$8,Calc!BB97,$L$8))</f>
        <v>270</v>
      </c>
      <c r="D74" s="697">
        <f ca="1">IF(Calc!BF97&lt;$L$5,Calc!BF97,$L$5)</f>
        <v>833.33333333333326</v>
      </c>
      <c r="E74" s="691">
        <f ca="1">IF(Calc!BH97&lt;0,0,IF(Calc!BH97&lt;=$L$8,Calc!BH97,$L$8))</f>
        <v>711</v>
      </c>
      <c r="F74" s="695">
        <f ca="1">IF(Calc!BL97&lt;$L$4,Calc!BL97,$L$4)</f>
        <v>416.66666666666663</v>
      </c>
      <c r="G74" s="691">
        <f ca="1">IF(Calc!BN97&lt;0,0,IF(Calc!BN97&lt;=$L$8,Calc!BN97,$L$8))</f>
        <v>1764</v>
      </c>
      <c r="H74" s="696">
        <f ca="1">Calc!BJ97</f>
        <v>2.3272791208791213</v>
      </c>
      <c r="I74" s="691">
        <f t="shared" ca="1" si="1"/>
        <v>0</v>
      </c>
      <c r="K74" s="691">
        <f ca="1">IF(I74=1,MATCH($K$61,I74:$I$114,0),C74)</f>
        <v>270</v>
      </c>
      <c r="L74" s="716">
        <f t="shared" ca="1" si="2"/>
        <v>270</v>
      </c>
      <c r="M74" s="691">
        <f ca="1">IF(I74=1,MATCH($K$61,I74:$I$114,0),E74)</f>
        <v>711</v>
      </c>
      <c r="N74" s="716">
        <f t="shared" ca="1" si="3"/>
        <v>711</v>
      </c>
      <c r="O74" s="691">
        <f ca="1">IF(I74=1,MATCH($K$61,I74:$I$114,0),G74)</f>
        <v>1764</v>
      </c>
      <c r="P74" s="716">
        <f t="shared" ca="1" si="4"/>
        <v>1764</v>
      </c>
      <c r="R74" s="695">
        <f t="shared" ca="1" si="5"/>
        <v>586.66666666666663</v>
      </c>
      <c r="S74" s="691">
        <f t="shared" ca="1" si="0"/>
        <v>61</v>
      </c>
      <c r="T74" s="695">
        <f t="shared" ca="1" si="6"/>
        <v>293.33333333333331</v>
      </c>
      <c r="U74" s="691">
        <f t="shared" ca="1" si="0"/>
        <v>207</v>
      </c>
      <c r="V74" s="695">
        <f t="shared" ca="1" si="7"/>
        <v>146.66666666666666</v>
      </c>
      <c r="W74" s="691">
        <f t="shared" ca="1" si="0"/>
        <v>586</v>
      </c>
    </row>
    <row r="75" spans="2:23">
      <c r="B75" s="695">
        <f ca="1">IF(Calc!AZ98&lt;$L$6,Calc!AZ98,$L$6)</f>
        <v>1666.6666666666665</v>
      </c>
      <c r="C75" s="692">
        <f ca="1">IF(Calc!BB98&lt;0,0,IF(Calc!BB98&lt;=$L$8,Calc!BB98,$L$8))</f>
        <v>257</v>
      </c>
      <c r="D75" s="697">
        <f ca="1">IF(Calc!BF98&lt;$L$5,Calc!BF98,$L$5)</f>
        <v>833.33333333333326</v>
      </c>
      <c r="E75" s="691">
        <f ca="1">IF(Calc!BH98&lt;0,0,IF(Calc!BH98&lt;=$L$8,Calc!BH98,$L$8))</f>
        <v>686</v>
      </c>
      <c r="F75" s="695">
        <f ca="1">IF(Calc!BL98&lt;$L$4,Calc!BL98,$L$4)</f>
        <v>416.66666666666663</v>
      </c>
      <c r="G75" s="691">
        <f ca="1">IF(Calc!BN98&lt;0,0,IF(Calc!BN98&lt;=$L$8,Calc!BN98,$L$8))</f>
        <v>1718</v>
      </c>
      <c r="H75" s="696">
        <f ca="1">Calc!BJ98</f>
        <v>2.2807268571428576</v>
      </c>
      <c r="I75" s="691">
        <f t="shared" ca="1" si="1"/>
        <v>0</v>
      </c>
      <c r="K75" s="691">
        <f ca="1">IF(I75=1,MATCH($K$61,I75:$I$114,0),C75)</f>
        <v>257</v>
      </c>
      <c r="L75" s="716">
        <f t="shared" ca="1" si="2"/>
        <v>257</v>
      </c>
      <c r="M75" s="691">
        <f ca="1">IF(I75=1,MATCH($K$61,I75:$I$114,0),E75)</f>
        <v>686</v>
      </c>
      <c r="N75" s="716">
        <f t="shared" ca="1" si="3"/>
        <v>686</v>
      </c>
      <c r="O75" s="691">
        <f ca="1">IF(I75=1,MATCH($K$61,I75:$I$114,0),G75)</f>
        <v>1718</v>
      </c>
      <c r="P75" s="716">
        <f t="shared" ca="1" si="4"/>
        <v>1718</v>
      </c>
      <c r="R75" s="695">
        <f t="shared" ca="1" si="5"/>
        <v>640</v>
      </c>
      <c r="S75" s="691">
        <f t="shared" ca="1" si="0"/>
        <v>55</v>
      </c>
      <c r="T75" s="695">
        <f t="shared" ca="1" si="6"/>
        <v>320</v>
      </c>
      <c r="U75" s="691">
        <f t="shared" ca="1" si="0"/>
        <v>200</v>
      </c>
      <c r="V75" s="695">
        <f t="shared" ca="1" si="7"/>
        <v>160</v>
      </c>
      <c r="W75" s="691">
        <f t="shared" ca="1" si="0"/>
        <v>578</v>
      </c>
    </row>
    <row r="76" spans="2:23">
      <c r="B76" s="695">
        <f ca="1">IF(Calc!AZ99&lt;$L$6,Calc!AZ99,$L$6)</f>
        <v>1666.6666666666665</v>
      </c>
      <c r="C76" s="692">
        <f ca="1">IF(Calc!BB99&lt;0,0,IF(Calc!BB99&lt;=$L$8,Calc!BB99,$L$8))</f>
        <v>243</v>
      </c>
      <c r="D76" s="697">
        <f ca="1">IF(Calc!BF99&lt;$L$5,Calc!BF99,$L$5)</f>
        <v>833.33333333333326</v>
      </c>
      <c r="E76" s="691">
        <f ca="1">IF(Calc!BH99&lt;0,0,IF(Calc!BH99&lt;=$L$8,Calc!BH99,$L$8))</f>
        <v>661</v>
      </c>
      <c r="F76" s="695">
        <f ca="1">IF(Calc!BL99&lt;$L$4,Calc!BL99,$L$4)</f>
        <v>416.66666666666663</v>
      </c>
      <c r="G76" s="691">
        <f ca="1">IF(Calc!BN99&lt;0,0,IF(Calc!BN99&lt;=$L$8,Calc!BN99,$L$8))</f>
        <v>1672</v>
      </c>
      <c r="H76" s="696">
        <f ca="1">Calc!BJ99</f>
        <v>2.2335781978021974</v>
      </c>
      <c r="I76" s="691">
        <f t="shared" ca="1" si="1"/>
        <v>0</v>
      </c>
      <c r="K76" s="691">
        <f ca="1">IF(I76=1,MATCH($K$61,I76:$I$114,0),C76)</f>
        <v>243</v>
      </c>
      <c r="L76" s="716">
        <f t="shared" ca="1" si="2"/>
        <v>243</v>
      </c>
      <c r="M76" s="691">
        <f ca="1">IF(I76=1,MATCH($K$61,I76:$I$114,0),E76)</f>
        <v>661</v>
      </c>
      <c r="N76" s="716">
        <f t="shared" ca="1" si="3"/>
        <v>661</v>
      </c>
      <c r="O76" s="691">
        <f ca="1">IF(I76=1,MATCH($K$61,I76:$I$114,0),G76)</f>
        <v>1672</v>
      </c>
      <c r="P76" s="716">
        <f t="shared" ca="1" si="4"/>
        <v>1672</v>
      </c>
      <c r="R76" s="695">
        <f t="shared" ca="1" si="5"/>
        <v>693.33333333333326</v>
      </c>
      <c r="S76" s="691">
        <f t="shared" ca="1" si="0"/>
        <v>50</v>
      </c>
      <c r="T76" s="695">
        <f t="shared" ca="1" si="6"/>
        <v>346.66666666666663</v>
      </c>
      <c r="U76" s="691">
        <f t="shared" ca="1" si="0"/>
        <v>192</v>
      </c>
      <c r="V76" s="695">
        <f t="shared" ca="1" si="7"/>
        <v>173.33333333333331</v>
      </c>
      <c r="W76" s="691">
        <f t="shared" ca="1" si="0"/>
        <v>569</v>
      </c>
    </row>
    <row r="77" spans="2:23">
      <c r="B77" s="695">
        <f ca="1">IF(Calc!AZ100&lt;$L$6,Calc!AZ100,$L$6)</f>
        <v>1666.6666666666665</v>
      </c>
      <c r="C77" s="692">
        <f ca="1">IF(Calc!BB100&lt;0,0,IF(Calc!BB100&lt;=$L$8,Calc!BB100,$L$8))</f>
        <v>230</v>
      </c>
      <c r="D77" s="697">
        <f ca="1">IF(Calc!BF100&lt;$L$5,Calc!BF100,$L$5)</f>
        <v>833.33333333333326</v>
      </c>
      <c r="E77" s="691">
        <f ca="1">IF(Calc!BH100&lt;0,0,IF(Calc!BH100&lt;=$L$8,Calc!BH100,$L$8))</f>
        <v>636</v>
      </c>
      <c r="F77" s="695">
        <f ca="1">IF(Calc!BL100&lt;$L$4,Calc!BL100,$L$4)</f>
        <v>416.66666666666663</v>
      </c>
      <c r="G77" s="691">
        <f ca="1">IF(Calc!BN100&lt;0,0,IF(Calc!BN100&lt;=$L$8,Calc!BN100,$L$8))</f>
        <v>1625</v>
      </c>
      <c r="H77" s="696">
        <f ca="1">Calc!BJ100</f>
        <v>2.1858331428571427</v>
      </c>
      <c r="I77" s="691">
        <f t="shared" ca="1" si="1"/>
        <v>0</v>
      </c>
      <c r="K77" s="691">
        <f ca="1">IF(I77=1,MATCH($K$61,I77:$I$114,0),C77)</f>
        <v>230</v>
      </c>
      <c r="L77" s="716">
        <f t="shared" ca="1" si="2"/>
        <v>230</v>
      </c>
      <c r="M77" s="691">
        <f ca="1">IF(I77=1,MATCH($K$61,I77:$I$114,0),E77)</f>
        <v>636</v>
      </c>
      <c r="N77" s="716">
        <f t="shared" ca="1" si="3"/>
        <v>636</v>
      </c>
      <c r="O77" s="691">
        <f ca="1">IF(I77=1,MATCH($K$61,I77:$I$114,0),G77)</f>
        <v>1625</v>
      </c>
      <c r="P77" s="716">
        <f t="shared" ca="1" si="4"/>
        <v>1625</v>
      </c>
      <c r="R77" s="695">
        <f t="shared" ca="1" si="5"/>
        <v>746.66666666666674</v>
      </c>
      <c r="S77" s="691">
        <f t="shared" ca="1" si="0"/>
        <v>44</v>
      </c>
      <c r="T77" s="695">
        <f t="shared" ca="1" si="6"/>
        <v>373.33333333333337</v>
      </c>
      <c r="U77" s="691">
        <f t="shared" ca="1" si="0"/>
        <v>185</v>
      </c>
      <c r="V77" s="695">
        <f t="shared" ca="1" si="7"/>
        <v>186.66666666666669</v>
      </c>
      <c r="W77" s="691">
        <f t="shared" ca="1" si="0"/>
        <v>560</v>
      </c>
    </row>
    <row r="78" spans="2:23">
      <c r="B78" s="695">
        <f ca="1">IF(Calc!AZ101&lt;$L$6,Calc!AZ101,$L$6)</f>
        <v>1666.6666666666665</v>
      </c>
      <c r="C78" s="692">
        <f ca="1">IF(Calc!BB101&lt;0,0,IF(Calc!BB101&lt;=$L$8,Calc!BB101,$L$8))</f>
        <v>216</v>
      </c>
      <c r="D78" s="697">
        <f ca="1">IF(Calc!BF101&lt;$L$5,Calc!BF101,$L$5)</f>
        <v>833.33333333333326</v>
      </c>
      <c r="E78" s="691">
        <f ca="1">IF(Calc!BH101&lt;0,0,IF(Calc!BH101&lt;=$L$8,Calc!BH101,$L$8))</f>
        <v>610</v>
      </c>
      <c r="F78" s="695">
        <f ca="1">IF(Calc!BL101&lt;$L$4,Calc!BL101,$L$4)</f>
        <v>416.66666666666663</v>
      </c>
      <c r="G78" s="691">
        <f ca="1">IF(Calc!BN101&lt;0,0,IF(Calc!BN101&lt;=$L$8,Calc!BN101,$L$8))</f>
        <v>1577</v>
      </c>
      <c r="H78" s="696">
        <f ca="1">Calc!BJ101</f>
        <v>2.1374916923076923</v>
      </c>
      <c r="I78" s="691">
        <f t="shared" ca="1" si="1"/>
        <v>0</v>
      </c>
      <c r="K78" s="691">
        <f ca="1">IF(I78=1,MATCH($K$61,I78:$I$114,0),C78)</f>
        <v>216</v>
      </c>
      <c r="L78" s="716">
        <f t="shared" ca="1" si="2"/>
        <v>216</v>
      </c>
      <c r="M78" s="691">
        <f ca="1">IF(I78=1,MATCH($K$61,I78:$I$114,0),E78)</f>
        <v>610</v>
      </c>
      <c r="N78" s="716">
        <f t="shared" ca="1" si="3"/>
        <v>610</v>
      </c>
      <c r="O78" s="691">
        <f ca="1">IF(I78=1,MATCH($K$61,I78:$I$114,0),G78)</f>
        <v>1577</v>
      </c>
      <c r="P78" s="716">
        <f t="shared" ca="1" si="4"/>
        <v>1577</v>
      </c>
      <c r="R78" s="695">
        <f t="shared" ca="1" si="5"/>
        <v>800</v>
      </c>
      <c r="S78" s="691">
        <f t="shared" ca="1" si="0"/>
        <v>39</v>
      </c>
      <c r="T78" s="695">
        <f t="shared" ca="1" si="6"/>
        <v>400</v>
      </c>
      <c r="U78" s="691">
        <f t="shared" ca="1" si="0"/>
        <v>177</v>
      </c>
      <c r="V78" s="695">
        <f t="shared" ca="1" si="7"/>
        <v>200</v>
      </c>
      <c r="W78" s="691">
        <f t="shared" ca="1" si="0"/>
        <v>551</v>
      </c>
    </row>
    <row r="79" spans="2:23">
      <c r="B79" s="695">
        <f ca="1">IF(Calc!AZ102&lt;$L$6,Calc!AZ102,$L$6)</f>
        <v>1666.6666666666665</v>
      </c>
      <c r="C79" s="692">
        <f ca="1">IF(Calc!BB102&lt;0,0,IF(Calc!BB102&lt;=$L$8,Calc!BB102,$L$8))</f>
        <v>202</v>
      </c>
      <c r="D79" s="697">
        <f ca="1">IF(Calc!BF102&lt;$L$5,Calc!BF102,$L$5)</f>
        <v>833.33333333333326</v>
      </c>
      <c r="E79" s="691">
        <f ca="1">IF(Calc!BH102&lt;0,0,IF(Calc!BH102&lt;=$L$8,Calc!BH102,$L$8))</f>
        <v>584</v>
      </c>
      <c r="F79" s="695">
        <f ca="1">IF(Calc!BL102&lt;$L$4,Calc!BL102,$L$4)</f>
        <v>416.66666666666663</v>
      </c>
      <c r="G79" s="691">
        <f ca="1">IF(Calc!BN102&lt;0,0,IF(Calc!BN102&lt;=$L$8,Calc!BN102,$L$8))</f>
        <v>1529</v>
      </c>
      <c r="H79" s="696">
        <f ca="1">Calc!BJ102</f>
        <v>2.0885538461538462</v>
      </c>
      <c r="I79" s="691">
        <f t="shared" ca="1" si="1"/>
        <v>0</v>
      </c>
      <c r="K79" s="691">
        <f ca="1">IF(I79=1,MATCH($K$61,I79:$I$114,0),C79)</f>
        <v>202</v>
      </c>
      <c r="L79" s="716">
        <f t="shared" ca="1" si="2"/>
        <v>202</v>
      </c>
      <c r="M79" s="691">
        <f ca="1">IF(I79=1,MATCH($K$61,I79:$I$114,0),E79)</f>
        <v>584</v>
      </c>
      <c r="N79" s="716">
        <f t="shared" ca="1" si="3"/>
        <v>584</v>
      </c>
      <c r="O79" s="691">
        <f ca="1">IF(I79=1,MATCH($K$61,I79:$I$114,0),G79)</f>
        <v>1529</v>
      </c>
      <c r="P79" s="716">
        <f t="shared" ca="1" si="4"/>
        <v>1529</v>
      </c>
      <c r="R79" s="695">
        <f t="shared" ca="1" si="5"/>
        <v>853.33333333333326</v>
      </c>
      <c r="S79" s="691">
        <f t="shared" ca="1" si="5"/>
        <v>34</v>
      </c>
      <c r="T79" s="695">
        <f t="shared" ca="1" si="6"/>
        <v>426.66666666666663</v>
      </c>
      <c r="U79" s="691">
        <f t="shared" ca="1" si="6"/>
        <v>169</v>
      </c>
      <c r="V79" s="695">
        <f t="shared" ca="1" si="7"/>
        <v>213.33333333333331</v>
      </c>
      <c r="W79" s="691">
        <f t="shared" ca="1" si="7"/>
        <v>543</v>
      </c>
    </row>
    <row r="80" spans="2:23">
      <c r="B80" s="695">
        <f ca="1">IF(Calc!AZ103&lt;$L$6,Calc!AZ103,$L$6)</f>
        <v>1666.6666666666665</v>
      </c>
      <c r="C80" s="692">
        <f ca="1">IF(Calc!BB103&lt;0,0,IF(Calc!BB103&lt;=$L$8,Calc!BB103,$L$8))</f>
        <v>187</v>
      </c>
      <c r="D80" s="697">
        <f ca="1">IF(Calc!BF103&lt;$L$5,Calc!BF103,$L$5)</f>
        <v>833.33333333333326</v>
      </c>
      <c r="E80" s="691">
        <f ca="1">IF(Calc!BH103&lt;0,0,IF(Calc!BH103&lt;=$L$8,Calc!BH103,$L$8))</f>
        <v>558</v>
      </c>
      <c r="F80" s="695">
        <f ca="1">IF(Calc!BL103&lt;$L$4,Calc!BL103,$L$4)</f>
        <v>416.66666666666663</v>
      </c>
      <c r="G80" s="691">
        <f ca="1">IF(Calc!BN103&lt;0,0,IF(Calc!BN103&lt;=$L$8,Calc!BN103,$L$8))</f>
        <v>1480</v>
      </c>
      <c r="H80" s="696">
        <f ca="1">Calc!BJ103</f>
        <v>2.0390196043956044</v>
      </c>
      <c r="I80" s="691">
        <f t="shared" ca="1" si="1"/>
        <v>0</v>
      </c>
      <c r="K80" s="691">
        <f ca="1">IF(I80=1,MATCH($K$61,I80:$I$114,0),C80)</f>
        <v>187</v>
      </c>
      <c r="L80" s="716">
        <f t="shared" ca="1" si="2"/>
        <v>187</v>
      </c>
      <c r="M80" s="691">
        <f ca="1">IF(I80=1,MATCH($K$61,I80:$I$114,0),E80)</f>
        <v>558</v>
      </c>
      <c r="N80" s="716">
        <f t="shared" ca="1" si="3"/>
        <v>558</v>
      </c>
      <c r="O80" s="691">
        <f ca="1">IF(I80=1,MATCH($K$61,I80:$I$114,0),G80)</f>
        <v>1480</v>
      </c>
      <c r="P80" s="716">
        <f t="shared" ca="1" si="4"/>
        <v>1480</v>
      </c>
      <c r="R80" s="695">
        <f t="shared" ca="1" si="5"/>
        <v>906.66666666666674</v>
      </c>
      <c r="S80" s="691">
        <f t="shared" ca="1" si="5"/>
        <v>28</v>
      </c>
      <c r="T80" s="695">
        <f t="shared" ca="1" si="6"/>
        <v>453.33333333333337</v>
      </c>
      <c r="U80" s="691">
        <f t="shared" ca="1" si="6"/>
        <v>162</v>
      </c>
      <c r="V80" s="695">
        <f t="shared" ca="1" si="7"/>
        <v>226.66666666666669</v>
      </c>
      <c r="W80" s="691">
        <f t="shared" ca="1" si="7"/>
        <v>534</v>
      </c>
    </row>
    <row r="81" spans="2:23">
      <c r="B81" s="695">
        <f ca="1">IF(Calc!AZ104&lt;$L$6,Calc!AZ104,$L$6)</f>
        <v>1666.6666666666665</v>
      </c>
      <c r="C81" s="692">
        <f ca="1">IF(Calc!BB104&lt;0,0,IF(Calc!BB104&lt;=$L$8,Calc!BB104,$L$8))</f>
        <v>173</v>
      </c>
      <c r="D81" s="697">
        <f ca="1">IF(Calc!BF104&lt;$L$5,Calc!BF104,$L$5)</f>
        <v>833.33333333333326</v>
      </c>
      <c r="E81" s="691">
        <f ca="1">IF(Calc!BH104&lt;0,0,IF(Calc!BH104&lt;=$L$8,Calc!BH104,$L$8))</f>
        <v>531</v>
      </c>
      <c r="F81" s="695">
        <f ca="1">IF(Calc!BL104&lt;$L$4,Calc!BL104,$L$4)</f>
        <v>416.66666666666663</v>
      </c>
      <c r="G81" s="691">
        <f ca="1">IF(Calc!BN104&lt;0,0,IF(Calc!BN104&lt;=$L$8,Calc!BN104,$L$8))</f>
        <v>1430</v>
      </c>
      <c r="H81" s="696">
        <f ca="1">Calc!BJ104</f>
        <v>1.9888889670329672</v>
      </c>
      <c r="I81" s="691">
        <f t="shared" ca="1" si="1"/>
        <v>0</v>
      </c>
      <c r="K81" s="691">
        <f ca="1">IF(I81=1,MATCH($K$61,I81:$I$114,0),C81)</f>
        <v>173</v>
      </c>
      <c r="L81" s="716">
        <f t="shared" ca="1" si="2"/>
        <v>173</v>
      </c>
      <c r="M81" s="691">
        <f ca="1">IF(I81=1,MATCH($K$61,I81:$I$114,0),E81)</f>
        <v>531</v>
      </c>
      <c r="N81" s="716">
        <f t="shared" ca="1" si="3"/>
        <v>531</v>
      </c>
      <c r="O81" s="691">
        <f ca="1">IF(I81=1,MATCH($K$61,I81:$I$114,0),G81)</f>
        <v>1430</v>
      </c>
      <c r="P81" s="716">
        <f t="shared" ca="1" si="4"/>
        <v>1430</v>
      </c>
      <c r="R81" s="695">
        <f t="shared" ca="1" si="5"/>
        <v>960</v>
      </c>
      <c r="S81" s="691">
        <f t="shared" ca="1" si="5"/>
        <v>23</v>
      </c>
      <c r="T81" s="695">
        <f t="shared" ca="1" si="6"/>
        <v>480</v>
      </c>
      <c r="U81" s="691">
        <f t="shared" ca="1" si="6"/>
        <v>154</v>
      </c>
      <c r="V81" s="695">
        <f t="shared" ca="1" si="7"/>
        <v>240</v>
      </c>
      <c r="W81" s="691">
        <f t="shared" ca="1" si="7"/>
        <v>525</v>
      </c>
    </row>
    <row r="82" spans="2:23">
      <c r="B82" s="695">
        <f ca="1">IF(Calc!AZ105&lt;$L$6,Calc!AZ105,$L$6)</f>
        <v>1666.6666666666665</v>
      </c>
      <c r="C82" s="692">
        <f ca="1">IF(Calc!BB105&lt;0,0,IF(Calc!BB105&lt;=$L$8,Calc!BB105,$L$8))</f>
        <v>158</v>
      </c>
      <c r="D82" s="697">
        <f ca="1">IF(Calc!BF105&lt;$L$5,Calc!BF105,$L$5)</f>
        <v>833.33333333333326</v>
      </c>
      <c r="E82" s="691">
        <f ca="1">IF(Calc!BH105&lt;0,0,IF(Calc!BH105&lt;=$L$8,Calc!BH105,$L$8))</f>
        <v>504</v>
      </c>
      <c r="F82" s="695">
        <f ca="1">IF(Calc!BL105&lt;$L$4,Calc!BL105,$L$4)</f>
        <v>416.66666666666663</v>
      </c>
      <c r="G82" s="691">
        <f ca="1">IF(Calc!BN105&lt;0,0,IF(Calc!BN105&lt;=$L$8,Calc!BN105,$L$8))</f>
        <v>1380</v>
      </c>
      <c r="H82" s="696">
        <f ca="1">Calc!BJ105</f>
        <v>1.938161934065934</v>
      </c>
      <c r="I82" s="691">
        <f t="shared" ca="1" si="1"/>
        <v>0</v>
      </c>
      <c r="K82" s="691">
        <f ca="1">IF(I82=1,MATCH($K$61,I82:$I$114,0),C82)</f>
        <v>158</v>
      </c>
      <c r="L82" s="716">
        <f t="shared" ca="1" si="2"/>
        <v>158</v>
      </c>
      <c r="M82" s="691">
        <f ca="1">IF(I82=1,MATCH($K$61,I82:$I$114,0),E82)</f>
        <v>504</v>
      </c>
      <c r="N82" s="716">
        <f t="shared" ca="1" si="3"/>
        <v>504</v>
      </c>
      <c r="O82" s="691">
        <f ca="1">IF(I82=1,MATCH($K$61,I82:$I$114,0),G82)</f>
        <v>1380</v>
      </c>
      <c r="P82" s="716">
        <f t="shared" ca="1" si="4"/>
        <v>1380</v>
      </c>
      <c r="R82" s="695">
        <f t="shared" ca="1" si="5"/>
        <v>1013.3333333333333</v>
      </c>
      <c r="S82" s="691">
        <f t="shared" ca="1" si="5"/>
        <v>17</v>
      </c>
      <c r="T82" s="695">
        <f t="shared" ca="1" si="6"/>
        <v>506.66666666666663</v>
      </c>
      <c r="U82" s="691">
        <f t="shared" ca="1" si="6"/>
        <v>147</v>
      </c>
      <c r="V82" s="695">
        <f t="shared" ca="1" si="7"/>
        <v>253.33333333333331</v>
      </c>
      <c r="W82" s="691">
        <f t="shared" ca="1" si="7"/>
        <v>516</v>
      </c>
    </row>
    <row r="83" spans="2:23">
      <c r="B83" s="695">
        <f ca="1">IF(Calc!AZ106&lt;$L$6,Calc!AZ106,$L$6)</f>
        <v>1666.6666666666665</v>
      </c>
      <c r="C83" s="692">
        <f ca="1">IF(Calc!BB106&lt;0,0,IF(Calc!BB106&lt;=$L$8,Calc!BB106,$L$8))</f>
        <v>144</v>
      </c>
      <c r="D83" s="697">
        <f ca="1">IF(Calc!BF106&lt;$L$5,Calc!BF106,$L$5)</f>
        <v>833.33333333333326</v>
      </c>
      <c r="E83" s="691">
        <f ca="1">IF(Calc!BH106&lt;0,0,IF(Calc!BH106&lt;=$L$8,Calc!BH106,$L$8))</f>
        <v>476</v>
      </c>
      <c r="F83" s="695">
        <f ca="1">IF(Calc!BL106&lt;$L$4,Calc!BL106,$L$4)</f>
        <v>416.66666666666663</v>
      </c>
      <c r="G83" s="691">
        <f ca="1">IF(Calc!BN106&lt;0,0,IF(Calc!BN106&lt;=$L$8,Calc!BN106,$L$8))</f>
        <v>1330</v>
      </c>
      <c r="H83" s="696">
        <f ca="1">Calc!BJ106</f>
        <v>1.8868385054945054</v>
      </c>
      <c r="I83" s="691">
        <f t="shared" ca="1" si="1"/>
        <v>0</v>
      </c>
      <c r="K83" s="691">
        <f ca="1">IF(I83=1,MATCH($K$61,I83:$I$114,0),C83)</f>
        <v>144</v>
      </c>
      <c r="L83" s="716">
        <f t="shared" ca="1" si="2"/>
        <v>144</v>
      </c>
      <c r="M83" s="691">
        <f ca="1">IF(I83=1,MATCH($K$61,I83:$I$114,0),E83)</f>
        <v>476</v>
      </c>
      <c r="N83" s="716">
        <f t="shared" ca="1" si="3"/>
        <v>476</v>
      </c>
      <c r="O83" s="691">
        <f ca="1">IF(I83=1,MATCH($K$61,I83:$I$114,0),G83)</f>
        <v>1330</v>
      </c>
      <c r="P83" s="716">
        <f t="shared" ca="1" si="4"/>
        <v>1330</v>
      </c>
      <c r="R83" s="695">
        <f t="shared" ca="1" si="5"/>
        <v>1066.6666666666667</v>
      </c>
      <c r="S83" s="691">
        <f t="shared" ca="1" si="5"/>
        <v>12</v>
      </c>
      <c r="T83" s="695">
        <f t="shared" ca="1" si="6"/>
        <v>533.33333333333337</v>
      </c>
      <c r="U83" s="691">
        <f t="shared" ca="1" si="6"/>
        <v>139</v>
      </c>
      <c r="V83" s="695">
        <f t="shared" ca="1" si="7"/>
        <v>266.66666666666669</v>
      </c>
      <c r="W83" s="691">
        <f t="shared" ca="1" si="7"/>
        <v>508</v>
      </c>
    </row>
    <row r="84" spans="2:23">
      <c r="B84" s="695">
        <f ca="1">IF(Calc!AZ107&lt;$L$6,Calc!AZ107,$L$6)</f>
        <v>1666.6666666666665</v>
      </c>
      <c r="C84" s="692">
        <f ca="1">IF(Calc!BB107&lt;0,0,IF(Calc!BB107&lt;=$L$8,Calc!BB107,$L$8))</f>
        <v>129</v>
      </c>
      <c r="D84" s="697">
        <f ca="1">IF(Calc!BF107&lt;$L$5,Calc!BF107,$L$5)</f>
        <v>833.33333333333326</v>
      </c>
      <c r="E84" s="691">
        <f ca="1">IF(Calc!BH107&lt;0,0,IF(Calc!BH107&lt;=$L$8,Calc!BH107,$L$8))</f>
        <v>448</v>
      </c>
      <c r="F84" s="695">
        <f ca="1">IF(Calc!BL107&lt;$L$4,Calc!BL107,$L$4)</f>
        <v>416.66666666666663</v>
      </c>
      <c r="G84" s="691">
        <f ca="1">IF(Calc!BN107&lt;0,0,IF(Calc!BN107&lt;=$L$8,Calc!BN107,$L$8))</f>
        <v>1278</v>
      </c>
      <c r="H84" s="696">
        <f ca="1">Calc!BJ107</f>
        <v>1.8349186813186811</v>
      </c>
      <c r="I84" s="691">
        <f t="shared" ca="1" si="1"/>
        <v>0</v>
      </c>
      <c r="K84" s="691">
        <f ca="1">IF(I84=1,MATCH($K$61,I84:$I$114,0),C84)</f>
        <v>129</v>
      </c>
      <c r="L84" s="716">
        <f t="shared" ca="1" si="2"/>
        <v>129</v>
      </c>
      <c r="M84" s="691">
        <f ca="1">IF(I84=1,MATCH($K$61,I84:$I$114,0),E84)</f>
        <v>448</v>
      </c>
      <c r="N84" s="716">
        <f t="shared" ca="1" si="3"/>
        <v>448</v>
      </c>
      <c r="O84" s="691">
        <f ca="1">IF(I84=1,MATCH($K$61,I84:$I$114,0),G84)</f>
        <v>1278</v>
      </c>
      <c r="P84" s="716">
        <f t="shared" ca="1" si="4"/>
        <v>1278</v>
      </c>
      <c r="R84" s="695">
        <f t="shared" ca="1" si="5"/>
        <v>1120</v>
      </c>
      <c r="S84" s="691">
        <f t="shared" ca="1" si="5"/>
        <v>7</v>
      </c>
      <c r="T84" s="695">
        <f t="shared" ca="1" si="6"/>
        <v>560</v>
      </c>
      <c r="U84" s="691">
        <f t="shared" ca="1" si="6"/>
        <v>131</v>
      </c>
      <c r="V84" s="695">
        <f t="shared" ca="1" si="7"/>
        <v>280</v>
      </c>
      <c r="W84" s="691">
        <f t="shared" ca="1" si="7"/>
        <v>499</v>
      </c>
    </row>
    <row r="85" spans="2:23">
      <c r="B85" s="695">
        <f ca="1">IF(Calc!AZ108&lt;$L$6,Calc!AZ108,$L$6)</f>
        <v>1666.6666666666665</v>
      </c>
      <c r="C85" s="692">
        <f ca="1">IF(Calc!BB108&lt;0,0,IF(Calc!BB108&lt;=$L$8,Calc!BB108,$L$8))</f>
        <v>114</v>
      </c>
      <c r="D85" s="697">
        <f ca="1">IF(Calc!BF108&lt;$L$5,Calc!BF108,$L$5)</f>
        <v>833.33333333333326</v>
      </c>
      <c r="E85" s="691">
        <f ca="1">IF(Calc!BH108&lt;0,0,IF(Calc!BH108&lt;=$L$8,Calc!BH108,$L$8))</f>
        <v>420</v>
      </c>
      <c r="F85" s="695">
        <f ca="1">IF(Calc!BL108&lt;$L$4,Calc!BL108,$L$4)</f>
        <v>416.66666666666663</v>
      </c>
      <c r="G85" s="691">
        <f ca="1">IF(Calc!BN108&lt;0,0,IF(Calc!BN108&lt;=$L$8,Calc!BN108,$L$8))</f>
        <v>1227</v>
      </c>
      <c r="H85" s="696">
        <f ca="1">Calc!BJ108</f>
        <v>1.7824024615384615</v>
      </c>
      <c r="I85" s="691">
        <f t="shared" ca="1" si="1"/>
        <v>0</v>
      </c>
      <c r="K85" s="691">
        <f ca="1">IF(I85=1,MATCH($K$61,I85:$I$114,0),C85)</f>
        <v>114</v>
      </c>
      <c r="L85" s="716">
        <f t="shared" ca="1" si="2"/>
        <v>114</v>
      </c>
      <c r="M85" s="691">
        <f ca="1">IF(I85=1,MATCH($K$61,I85:$I$114,0),E85)</f>
        <v>420</v>
      </c>
      <c r="N85" s="716">
        <f t="shared" ca="1" si="3"/>
        <v>420</v>
      </c>
      <c r="O85" s="691">
        <f ca="1">IF(I85=1,MATCH($K$61,I85:$I$114,0),G85)</f>
        <v>1227</v>
      </c>
      <c r="P85" s="716">
        <f t="shared" ca="1" si="4"/>
        <v>1227</v>
      </c>
      <c r="R85" s="695">
        <f t="shared" ca="1" si="5"/>
        <v>1173.3333333333333</v>
      </c>
      <c r="S85" s="691">
        <f t="shared" ca="1" si="5"/>
        <v>1</v>
      </c>
      <c r="T85" s="695">
        <f t="shared" ca="1" si="6"/>
        <v>586.66666666666663</v>
      </c>
      <c r="U85" s="691">
        <f t="shared" ca="1" si="6"/>
        <v>123</v>
      </c>
      <c r="V85" s="695">
        <f t="shared" ca="1" si="7"/>
        <v>293.33333333333331</v>
      </c>
      <c r="W85" s="691">
        <f t="shared" ca="1" si="7"/>
        <v>489</v>
      </c>
    </row>
    <row r="86" spans="2:23">
      <c r="B86" s="695">
        <f ca="1">IF(Calc!AZ109&lt;$L$6,Calc!AZ109,$L$6)</f>
        <v>1666.6666666666665</v>
      </c>
      <c r="C86" s="692">
        <f ca="1">IF(Calc!BB109&lt;0,0,IF(Calc!BB109&lt;=$L$8,Calc!BB109,$L$8))</f>
        <v>98</v>
      </c>
      <c r="D86" s="697">
        <f ca="1">IF(Calc!BF109&lt;$L$5,Calc!BF109,$L$5)</f>
        <v>833.33333333333326</v>
      </c>
      <c r="E86" s="691">
        <f ca="1">IF(Calc!BH109&lt;0,0,IF(Calc!BH109&lt;=$L$8,Calc!BH109,$L$8))</f>
        <v>392</v>
      </c>
      <c r="F86" s="695">
        <f ca="1">IF(Calc!BL109&lt;$L$4,Calc!BL109,$L$4)</f>
        <v>416.66666666666663</v>
      </c>
      <c r="G86" s="691">
        <f ca="1">IF(Calc!BN109&lt;0,0,IF(Calc!BN109&lt;=$L$8,Calc!BN109,$L$8))</f>
        <v>1174</v>
      </c>
      <c r="H86" s="696">
        <f ca="1">Calc!BJ109</f>
        <v>1.7292898461538462</v>
      </c>
      <c r="I86" s="691">
        <f t="shared" ca="1" si="1"/>
        <v>0</v>
      </c>
      <c r="K86" s="691">
        <f ca="1">IF(I86=1,MATCH($K$61,I86:$I$114,0),C86)</f>
        <v>98</v>
      </c>
      <c r="L86" s="716">
        <f t="shared" ca="1" si="2"/>
        <v>98</v>
      </c>
      <c r="M86" s="691">
        <f ca="1">IF(I86=1,MATCH($K$61,I86:$I$114,0),E86)</f>
        <v>392</v>
      </c>
      <c r="N86" s="716">
        <f t="shared" ca="1" si="3"/>
        <v>392</v>
      </c>
      <c r="O86" s="691">
        <f ca="1">IF(I86=1,MATCH($K$61,I86:$I$114,0),G86)</f>
        <v>1174</v>
      </c>
      <c r="P86" s="716">
        <f t="shared" ca="1" si="4"/>
        <v>1174</v>
      </c>
      <c r="R86" s="695">
        <f t="shared" ca="1" si="5"/>
        <v>1226.6666666666667</v>
      </c>
      <c r="S86" s="691">
        <f t="shared" ca="1" si="5"/>
        <v>0</v>
      </c>
      <c r="T86" s="695">
        <f t="shared" ca="1" si="6"/>
        <v>613.33333333333337</v>
      </c>
      <c r="U86" s="691">
        <f t="shared" ca="1" si="6"/>
        <v>115</v>
      </c>
      <c r="V86" s="695">
        <f t="shared" ca="1" si="7"/>
        <v>306.66666666666669</v>
      </c>
      <c r="W86" s="691">
        <f t="shared" ca="1" si="7"/>
        <v>479</v>
      </c>
    </row>
    <row r="87" spans="2:23">
      <c r="B87" s="695">
        <f ca="1">IF(Calc!AZ110&lt;$L$6,Calc!AZ110,$L$6)</f>
        <v>1666.6666666666665</v>
      </c>
      <c r="C87" s="692">
        <f ca="1">IF(Calc!BB110&lt;0,0,IF(Calc!BB110&lt;=$L$8,Calc!BB110,$L$8))</f>
        <v>83</v>
      </c>
      <c r="D87" s="697">
        <f ca="1">IF(Calc!BF110&lt;$L$5,Calc!BF110,$L$5)</f>
        <v>833.33333333333326</v>
      </c>
      <c r="E87" s="691">
        <f ca="1">IF(Calc!BH110&lt;0,0,IF(Calc!BH110&lt;=$L$8,Calc!BH110,$L$8))</f>
        <v>363</v>
      </c>
      <c r="F87" s="695">
        <f ca="1">IF(Calc!BL110&lt;$L$4,Calc!BL110,$L$4)</f>
        <v>416.66666666666663</v>
      </c>
      <c r="G87" s="691">
        <f ca="1">IF(Calc!BN110&lt;0,0,IF(Calc!BN110&lt;=$L$8,Calc!BN110,$L$8))</f>
        <v>1121</v>
      </c>
      <c r="H87" s="696">
        <f ca="1">Calc!BJ110</f>
        <v>1.6755808351648354</v>
      </c>
      <c r="I87" s="691">
        <f t="shared" ca="1" si="1"/>
        <v>0</v>
      </c>
      <c r="K87" s="691">
        <f ca="1">IF(I87=1,MATCH($K$61,I87:$I$114,0),C87)</f>
        <v>83</v>
      </c>
      <c r="L87" s="716">
        <f t="shared" ca="1" si="2"/>
        <v>83</v>
      </c>
      <c r="M87" s="691">
        <f ca="1">IF(I87=1,MATCH($K$61,I87:$I$114,0),E87)</f>
        <v>363</v>
      </c>
      <c r="N87" s="716">
        <f t="shared" ca="1" si="3"/>
        <v>363</v>
      </c>
      <c r="O87" s="691">
        <f ca="1">IF(I87=1,MATCH($K$61,I87:$I$114,0),G87)</f>
        <v>1121</v>
      </c>
      <c r="P87" s="716">
        <f t="shared" ca="1" si="4"/>
        <v>1121</v>
      </c>
      <c r="R87" s="695">
        <f t="shared" ca="1" si="5"/>
        <v>1280</v>
      </c>
      <c r="S87" s="691">
        <f t="shared" ca="1" si="5"/>
        <v>0</v>
      </c>
      <c r="T87" s="695">
        <f t="shared" ca="1" si="6"/>
        <v>640</v>
      </c>
      <c r="U87" s="691">
        <f t="shared" ca="1" si="6"/>
        <v>107</v>
      </c>
      <c r="V87" s="695">
        <f t="shared" ca="1" si="7"/>
        <v>320</v>
      </c>
      <c r="W87" s="691">
        <f t="shared" ca="1" si="7"/>
        <v>469</v>
      </c>
    </row>
    <row r="88" spans="2:23">
      <c r="B88" s="695">
        <f ca="1">IF(Calc!AZ111&lt;$L$6,Calc!AZ111,$L$6)</f>
        <v>1666.6666666666665</v>
      </c>
      <c r="C88" s="692">
        <f ca="1">IF(Calc!BB111&lt;0,0,IF(Calc!BB111&lt;=$L$8,Calc!BB111,$L$8))</f>
        <v>67</v>
      </c>
      <c r="D88" s="697">
        <f ca="1">IF(Calc!BF111&lt;$L$5,Calc!BF111,$L$5)</f>
        <v>833.33333333333326</v>
      </c>
      <c r="E88" s="691">
        <f ca="1">IF(Calc!BH111&lt;0,0,IF(Calc!BH111&lt;=$L$8,Calc!BH111,$L$8))</f>
        <v>334</v>
      </c>
      <c r="F88" s="695">
        <f ca="1">IF(Calc!BL111&lt;$L$4,Calc!BL111,$L$4)</f>
        <v>416.66666666666663</v>
      </c>
      <c r="G88" s="691">
        <f ca="1">IF(Calc!BN111&lt;0,0,IF(Calc!BN111&lt;=$L$8,Calc!BN111,$L$8))</f>
        <v>1068</v>
      </c>
      <c r="H88" s="696">
        <f ca="1">Calc!BJ111</f>
        <v>1.6212754285714288</v>
      </c>
      <c r="I88" s="691">
        <f t="shared" ca="1" si="1"/>
        <v>0</v>
      </c>
      <c r="K88" s="691">
        <f ca="1">IF(I88=1,MATCH($K$61,I88:$I$114,0),C88)</f>
        <v>67</v>
      </c>
      <c r="L88" s="716">
        <f t="shared" ca="1" si="2"/>
        <v>67</v>
      </c>
      <c r="M88" s="691">
        <f ca="1">IF(I88=1,MATCH($K$61,I88:$I$114,0),E88)</f>
        <v>334</v>
      </c>
      <c r="N88" s="716">
        <f t="shared" ca="1" si="3"/>
        <v>334</v>
      </c>
      <c r="O88" s="691">
        <f ca="1">IF(I88=1,MATCH($K$61,I88:$I$114,0),G88)</f>
        <v>1068</v>
      </c>
      <c r="P88" s="716">
        <f t="shared" ca="1" si="4"/>
        <v>1068</v>
      </c>
      <c r="R88" s="695">
        <f t="shared" ca="1" si="5"/>
        <v>1333.3333333333335</v>
      </c>
      <c r="S88" s="691">
        <f t="shared" ca="1" si="5"/>
        <v>0</v>
      </c>
      <c r="T88" s="695">
        <f t="shared" ca="1" si="6"/>
        <v>666.66666666666674</v>
      </c>
      <c r="U88" s="691">
        <f t="shared" ca="1" si="6"/>
        <v>99</v>
      </c>
      <c r="V88" s="695">
        <f t="shared" ca="1" si="7"/>
        <v>333.33333333333337</v>
      </c>
      <c r="W88" s="691">
        <f t="shared" ca="1" si="7"/>
        <v>459</v>
      </c>
    </row>
    <row r="89" spans="2:23">
      <c r="B89" s="695">
        <f ca="1">IF(Calc!AZ112&lt;$L$6,Calc!AZ112,$L$6)</f>
        <v>1666.6666666666665</v>
      </c>
      <c r="C89" s="692">
        <f ca="1">IF(Calc!BB112&lt;0,0,IF(Calc!BB112&lt;=$L$8,Calc!BB112,$L$8))</f>
        <v>51</v>
      </c>
      <c r="D89" s="697">
        <f ca="1">IF(Calc!BF112&lt;$L$5,Calc!BF112,$L$5)</f>
        <v>833.33333333333326</v>
      </c>
      <c r="E89" s="691">
        <f ca="1">IF(Calc!BH112&lt;0,0,IF(Calc!BH112&lt;=$L$8,Calc!BH112,$L$8))</f>
        <v>305</v>
      </c>
      <c r="F89" s="695">
        <f ca="1">IF(Calc!BL112&lt;$L$4,Calc!BL112,$L$4)</f>
        <v>416.66666666666663</v>
      </c>
      <c r="G89" s="691">
        <f ca="1">IF(Calc!BN112&lt;0,0,IF(Calc!BN112&lt;=$L$8,Calc!BN112,$L$8))</f>
        <v>1013</v>
      </c>
      <c r="H89" s="696">
        <f ca="1">Calc!BJ112</f>
        <v>1.5663736263736265</v>
      </c>
      <c r="I89" s="691">
        <f t="shared" ca="1" si="1"/>
        <v>0</v>
      </c>
      <c r="K89" s="691">
        <f ca="1">IF(I89=1,MATCH($K$61,I89:$I$114,0),C89)</f>
        <v>51</v>
      </c>
      <c r="L89" s="716">
        <f t="shared" ca="1" si="2"/>
        <v>51</v>
      </c>
      <c r="M89" s="691">
        <f ca="1">IF(I89=1,MATCH($K$61,I89:$I$114,0),E89)</f>
        <v>305</v>
      </c>
      <c r="N89" s="716">
        <f t="shared" ca="1" si="3"/>
        <v>305</v>
      </c>
      <c r="O89" s="691">
        <f ca="1">IF(I89=1,MATCH($K$61,I89:$I$114,0),G89)</f>
        <v>1013</v>
      </c>
      <c r="P89" s="716">
        <f t="shared" ca="1" si="4"/>
        <v>1013</v>
      </c>
      <c r="R89" s="695">
        <f t="shared" ca="1" si="5"/>
        <v>1386.6666666666665</v>
      </c>
      <c r="S89" s="691">
        <f t="shared" ca="1" si="5"/>
        <v>0</v>
      </c>
      <c r="T89" s="695">
        <f t="shared" ca="1" si="6"/>
        <v>693.33333333333326</v>
      </c>
      <c r="U89" s="691">
        <f t="shared" ca="1" si="6"/>
        <v>90</v>
      </c>
      <c r="V89" s="695">
        <f t="shared" ca="1" si="7"/>
        <v>346.66666666666663</v>
      </c>
      <c r="W89" s="691">
        <f t="shared" ca="1" si="7"/>
        <v>449</v>
      </c>
    </row>
    <row r="90" spans="2:23">
      <c r="B90" s="695">
        <f ca="1">IF(Calc!AZ113&lt;$L$6,Calc!AZ113,$L$6)</f>
        <v>1666.6666666666665</v>
      </c>
      <c r="C90" s="692">
        <f ca="1">IF(Calc!BB113&lt;0,0,IF(Calc!BB113&lt;=$L$8,Calc!BB113,$L$8))</f>
        <v>35</v>
      </c>
      <c r="D90" s="697">
        <f ca="1">IF(Calc!BF113&lt;$L$5,Calc!BF113,$L$5)</f>
        <v>833.33333333333326</v>
      </c>
      <c r="E90" s="691">
        <f ca="1">IF(Calc!BH113&lt;0,0,IF(Calc!BH113&lt;=$L$8,Calc!BH113,$L$8))</f>
        <v>275</v>
      </c>
      <c r="F90" s="695">
        <f ca="1">IF(Calc!BL113&lt;$L$4,Calc!BL113,$L$4)</f>
        <v>416.66666666666663</v>
      </c>
      <c r="G90" s="691">
        <f ca="1">IF(Calc!BN113&lt;0,0,IF(Calc!BN113&lt;=$L$8,Calc!BN113,$L$8))</f>
        <v>959</v>
      </c>
      <c r="H90" s="696">
        <f ca="1">Calc!BJ113</f>
        <v>1.5108754285714285</v>
      </c>
      <c r="I90" s="691">
        <f t="shared" ca="1" si="1"/>
        <v>0</v>
      </c>
      <c r="K90" s="691">
        <f ca="1">IF(I90=1,MATCH($K$61,I90:$I$114,0),C90)</f>
        <v>35</v>
      </c>
      <c r="L90" s="716">
        <f t="shared" ca="1" si="2"/>
        <v>35</v>
      </c>
      <c r="M90" s="691">
        <f ca="1">IF(I90=1,MATCH($K$61,I90:$I$114,0),E90)</f>
        <v>275</v>
      </c>
      <c r="N90" s="716">
        <f t="shared" ca="1" si="3"/>
        <v>275</v>
      </c>
      <c r="O90" s="691">
        <f ca="1">IF(I90=1,MATCH($K$61,I90:$I$114,0),G90)</f>
        <v>959</v>
      </c>
      <c r="P90" s="716">
        <f t="shared" ca="1" si="4"/>
        <v>959</v>
      </c>
      <c r="R90" s="695">
        <f t="shared" ca="1" si="5"/>
        <v>1440</v>
      </c>
      <c r="S90" s="691">
        <f t="shared" ca="1" si="5"/>
        <v>0</v>
      </c>
      <c r="T90" s="695">
        <f t="shared" ca="1" si="6"/>
        <v>720</v>
      </c>
      <c r="U90" s="691">
        <f t="shared" ca="1" si="6"/>
        <v>82</v>
      </c>
      <c r="V90" s="695">
        <f t="shared" ca="1" si="7"/>
        <v>360</v>
      </c>
      <c r="W90" s="691">
        <f t="shared" ca="1" si="7"/>
        <v>439</v>
      </c>
    </row>
    <row r="91" spans="2:23">
      <c r="B91" s="695">
        <f ca="1">IF(Calc!AZ114&lt;$L$6,Calc!AZ114,$L$6)</f>
        <v>1666.6666666666665</v>
      </c>
      <c r="C91" s="692">
        <f ca="1">IF(Calc!BB114&lt;0,0,IF(Calc!BB114&lt;=$L$8,Calc!BB114,$L$8))</f>
        <v>19</v>
      </c>
      <c r="D91" s="697">
        <f ca="1">IF(Calc!BF114&lt;$L$5,Calc!BF114,$L$5)</f>
        <v>833.33333333333326</v>
      </c>
      <c r="E91" s="691">
        <f ca="1">IF(Calc!BH114&lt;0,0,IF(Calc!BH114&lt;=$L$8,Calc!BH114,$L$8))</f>
        <v>245</v>
      </c>
      <c r="F91" s="695">
        <f ca="1">IF(Calc!BL114&lt;$L$4,Calc!BL114,$L$4)</f>
        <v>416.66666666666663</v>
      </c>
      <c r="G91" s="691">
        <f ca="1">IF(Calc!BN114&lt;0,0,IF(Calc!BN114&lt;=$L$8,Calc!BN114,$L$8))</f>
        <v>903</v>
      </c>
      <c r="H91" s="696">
        <f ca="1">Calc!BJ114</f>
        <v>1.4547808351648353</v>
      </c>
      <c r="I91" s="691">
        <f t="shared" ca="1" si="1"/>
        <v>0</v>
      </c>
      <c r="K91" s="691">
        <f ca="1">IF(I91=1,MATCH($K$61,I91:$I$114,0),C91)</f>
        <v>19</v>
      </c>
      <c r="L91" s="716">
        <f t="shared" ca="1" si="2"/>
        <v>19</v>
      </c>
      <c r="M91" s="691">
        <f ca="1">IF(I91=1,MATCH($K$61,I91:$I$114,0),E91)</f>
        <v>245</v>
      </c>
      <c r="N91" s="716">
        <f t="shared" ca="1" si="3"/>
        <v>245</v>
      </c>
      <c r="O91" s="691">
        <f ca="1">IF(I91=1,MATCH($K$61,I91:$I$114,0),G91)</f>
        <v>903</v>
      </c>
      <c r="P91" s="716">
        <f t="shared" ca="1" si="4"/>
        <v>903</v>
      </c>
      <c r="R91" s="695">
        <f t="shared" ca="1" si="5"/>
        <v>1493.3333333333335</v>
      </c>
      <c r="S91" s="691">
        <f t="shared" ca="1" si="5"/>
        <v>0</v>
      </c>
      <c r="T91" s="695">
        <f t="shared" ca="1" si="6"/>
        <v>746.66666666666674</v>
      </c>
      <c r="U91" s="691">
        <f t="shared" ca="1" si="6"/>
        <v>74</v>
      </c>
      <c r="V91" s="695">
        <f t="shared" ca="1" si="7"/>
        <v>373.33333333333337</v>
      </c>
      <c r="W91" s="691">
        <f t="shared" ca="1" si="7"/>
        <v>429</v>
      </c>
    </row>
    <row r="92" spans="2:23">
      <c r="B92" s="695">
        <f ca="1">IF(Calc!AZ115&lt;$L$6,Calc!AZ115,$L$6)</f>
        <v>1666.6666666666665</v>
      </c>
      <c r="C92" s="692">
        <f ca="1">IF(Calc!BB115&lt;0,0,IF(Calc!BB115&lt;=$L$8,Calc!BB115,$L$8))</f>
        <v>3</v>
      </c>
      <c r="D92" s="697">
        <f ca="1">IF(Calc!BF115&lt;$L$5,Calc!BF115,$L$5)</f>
        <v>833.33333333333326</v>
      </c>
      <c r="E92" s="691">
        <f ca="1">IF(Calc!BH115&lt;0,0,IF(Calc!BH115&lt;=$L$8,Calc!BH115,$L$8))</f>
        <v>215</v>
      </c>
      <c r="F92" s="695">
        <f ca="1">IF(Calc!BL115&lt;$L$4,Calc!BL115,$L$4)</f>
        <v>416.66666666666663</v>
      </c>
      <c r="G92" s="691">
        <f ca="1">IF(Calc!BN115&lt;0,0,IF(Calc!BN115&lt;=$L$8,Calc!BN115,$L$8))</f>
        <v>847</v>
      </c>
      <c r="H92" s="696">
        <f ca="1">Calc!BJ115</f>
        <v>1.398089846153846</v>
      </c>
      <c r="I92" s="691">
        <f t="shared" ca="1" si="1"/>
        <v>0</v>
      </c>
      <c r="K92" s="691">
        <f ca="1">IF(I92=1,MATCH($K$61,I92:$I$114,0),C92)</f>
        <v>3</v>
      </c>
      <c r="L92" s="716">
        <f t="shared" ca="1" si="2"/>
        <v>3</v>
      </c>
      <c r="M92" s="691">
        <f ca="1">IF(I92=1,MATCH($K$61,I92:$I$114,0),E92)</f>
        <v>215</v>
      </c>
      <c r="N92" s="716">
        <f t="shared" ca="1" si="3"/>
        <v>215</v>
      </c>
      <c r="O92" s="691">
        <f ca="1">IF(I92=1,MATCH($K$61,I92:$I$114,0),G92)</f>
        <v>847</v>
      </c>
      <c r="P92" s="716">
        <f t="shared" ca="1" si="4"/>
        <v>847</v>
      </c>
      <c r="R92" s="695">
        <f t="shared" ca="1" si="5"/>
        <v>1546.6666666666665</v>
      </c>
      <c r="S92" s="691">
        <f t="shared" ca="1" si="5"/>
        <v>0</v>
      </c>
      <c r="T92" s="695">
        <f t="shared" ca="1" si="6"/>
        <v>773.33333333333326</v>
      </c>
      <c r="U92" s="691">
        <f t="shared" ca="1" si="6"/>
        <v>66</v>
      </c>
      <c r="V92" s="695">
        <f t="shared" ca="1" si="7"/>
        <v>386.66666666666663</v>
      </c>
      <c r="W92" s="691">
        <f t="shared" ca="1" si="7"/>
        <v>419</v>
      </c>
    </row>
    <row r="93" spans="2:23">
      <c r="B93" s="695">
        <f ca="1">IF(Calc!AZ116&lt;$L$6,Calc!AZ116,$L$6)</f>
        <v>1666.6666666666665</v>
      </c>
      <c r="C93" s="692">
        <f ca="1">IF(Calc!BB116&lt;0,0,IF(Calc!BB116&lt;=$L$8,Calc!BB116,$L$8))</f>
        <v>0</v>
      </c>
      <c r="D93" s="697">
        <f ca="1">IF(Calc!BF116&lt;$L$5,Calc!BF116,$L$5)</f>
        <v>833.33333333333326</v>
      </c>
      <c r="E93" s="691">
        <f ca="1">IF(Calc!BH116&lt;0,0,IF(Calc!BH116&lt;=$L$8,Calc!BH116,$L$8))</f>
        <v>184</v>
      </c>
      <c r="F93" s="695">
        <f ca="1">IF(Calc!BL116&lt;$L$4,Calc!BL116,$L$4)</f>
        <v>416.66666666666663</v>
      </c>
      <c r="G93" s="691">
        <f ca="1">IF(Calc!BN116&lt;0,0,IF(Calc!BN116&lt;=$L$8,Calc!BN116,$L$8))</f>
        <v>791</v>
      </c>
      <c r="H93" s="696">
        <f ca="1">Calc!BJ116</f>
        <v>1.3408024615384615</v>
      </c>
      <c r="I93" s="691">
        <f t="shared" ca="1" si="1"/>
        <v>0</v>
      </c>
      <c r="K93" s="691">
        <f ca="1">IF(I93=1,MATCH($K$61,I93:$I$114,0),C93)</f>
        <v>0</v>
      </c>
      <c r="L93" s="716">
        <f t="shared" ca="1" si="2"/>
        <v>0</v>
      </c>
      <c r="M93" s="691">
        <f ca="1">IF(I93=1,MATCH($K$61,I93:$I$114,0),E93)</f>
        <v>184</v>
      </c>
      <c r="N93" s="716">
        <f t="shared" ca="1" si="3"/>
        <v>184</v>
      </c>
      <c r="O93" s="691">
        <f ca="1">IF(I93=1,MATCH($K$61,I93:$I$114,0),G93)</f>
        <v>791</v>
      </c>
      <c r="P93" s="716">
        <f t="shared" ca="1" si="4"/>
        <v>791</v>
      </c>
      <c r="R93" s="695">
        <f t="shared" ca="1" si="5"/>
        <v>1600</v>
      </c>
      <c r="S93" s="691">
        <f t="shared" ca="1" si="5"/>
        <v>0</v>
      </c>
      <c r="T93" s="695">
        <f t="shared" ca="1" si="6"/>
        <v>800</v>
      </c>
      <c r="U93" s="691">
        <f t="shared" ca="1" si="6"/>
        <v>58</v>
      </c>
      <c r="V93" s="695">
        <f t="shared" ca="1" si="7"/>
        <v>400</v>
      </c>
      <c r="W93" s="691">
        <f t="shared" ca="1" si="7"/>
        <v>409</v>
      </c>
    </row>
    <row r="94" spans="2:23">
      <c r="B94" s="695">
        <f ca="1">IF(Calc!AZ117&lt;$L$6,Calc!AZ117,$L$6)</f>
        <v>1666.6666666666665</v>
      </c>
      <c r="C94" s="692">
        <f ca="1">IF(Calc!BB117&lt;0,0,IF(Calc!BB117&lt;=$L$8,Calc!BB117,$L$8))</f>
        <v>0</v>
      </c>
      <c r="D94" s="697">
        <f ca="1">IF(Calc!BF117&lt;$L$5,Calc!BF117,$L$5)</f>
        <v>833.33333333333326</v>
      </c>
      <c r="E94" s="691">
        <f ca="1">IF(Calc!BH117&lt;0,0,IF(Calc!BH117&lt;=$L$8,Calc!BH117,$L$8))</f>
        <v>158</v>
      </c>
      <c r="F94" s="695">
        <f ca="1">IF(Calc!BL117&lt;$L$4,Calc!BL117,$L$4)</f>
        <v>416.66666666666663</v>
      </c>
      <c r="G94" s="691">
        <f ca="1">IF(Calc!BN117&lt;0,0,IF(Calc!BN117&lt;=$L$8,Calc!BN117,$L$8))</f>
        <v>738</v>
      </c>
      <c r="H94" s="696">
        <f ca="1">Calc!BJ117</f>
        <v>1.2829186813186786</v>
      </c>
      <c r="I94" s="691">
        <f t="shared" ca="1" si="1"/>
        <v>0</v>
      </c>
      <c r="K94" s="691">
        <f ca="1">IF(I94=1,MATCH($K$61,I94:$I$114,0),C94)</f>
        <v>0</v>
      </c>
      <c r="L94" s="716">
        <f t="shared" ca="1" si="2"/>
        <v>0</v>
      </c>
      <c r="M94" s="691">
        <f ca="1">IF(I94=1,MATCH($K$61,I94:$I$114,0),E94)</f>
        <v>158</v>
      </c>
      <c r="N94" s="716">
        <f t="shared" ca="1" si="3"/>
        <v>158</v>
      </c>
      <c r="O94" s="691">
        <f ca="1">IF(I94=1,MATCH($K$61,I94:$I$114,0),G94)</f>
        <v>738</v>
      </c>
      <c r="P94" s="716">
        <f t="shared" ca="1" si="4"/>
        <v>738</v>
      </c>
      <c r="R94" s="695">
        <f t="shared" ca="1" si="5"/>
        <v>1653.3333333333335</v>
      </c>
      <c r="S94" s="691">
        <f t="shared" ca="1" si="5"/>
        <v>0</v>
      </c>
      <c r="T94" s="695">
        <f t="shared" ca="1" si="6"/>
        <v>826.66666666666674</v>
      </c>
      <c r="U94" s="691">
        <f t="shared" ca="1" si="6"/>
        <v>49</v>
      </c>
      <c r="V94" s="695">
        <f t="shared" ca="1" si="7"/>
        <v>413.33333333333337</v>
      </c>
      <c r="W94" s="691">
        <f t="shared" ca="1" si="7"/>
        <v>399</v>
      </c>
    </row>
    <row r="95" spans="2:23">
      <c r="B95" s="695">
        <f ca="1">IF(Calc!AZ118&lt;$L$6,Calc!AZ118,$L$6)</f>
        <v>1666.6666666666665</v>
      </c>
      <c r="C95" s="692">
        <f ca="1">IF(Calc!BB118&lt;0,0,IF(Calc!BB118&lt;=$L$8,Calc!BB118,$L$8))</f>
        <v>0</v>
      </c>
      <c r="D95" s="697">
        <f ca="1">IF(Calc!BF118&lt;$L$5,Calc!BF118,$L$5)</f>
        <v>833.33333333333326</v>
      </c>
      <c r="E95" s="691">
        <f ca="1">IF(Calc!BH118&lt;0,0,IF(Calc!BH118&lt;=$L$8,Calc!BH118,$L$8))</f>
        <v>131</v>
      </c>
      <c r="F95" s="695">
        <f ca="1">IF(Calc!BL118&lt;$L$4,Calc!BL118,$L$4)</f>
        <v>416.66666666666663</v>
      </c>
      <c r="G95" s="691">
        <f ca="1">IF(Calc!BN118&lt;0,0,IF(Calc!BN118&lt;=$L$8,Calc!BN118,$L$8))</f>
        <v>685</v>
      </c>
      <c r="H95" s="696">
        <f ca="1">Calc!BJ118</f>
        <v>1.2244385054945026</v>
      </c>
      <c r="I95" s="691">
        <f t="shared" ca="1" si="1"/>
        <v>0</v>
      </c>
      <c r="K95" s="691">
        <f ca="1">IF(I95=1,MATCH($K$61,I95:$I$114,0),C95)</f>
        <v>0</v>
      </c>
      <c r="L95" s="716">
        <f t="shared" ca="1" si="2"/>
        <v>0</v>
      </c>
      <c r="M95" s="691">
        <f ca="1">IF(I95=1,MATCH($K$61,I95:$I$114,0),E95)</f>
        <v>131</v>
      </c>
      <c r="N95" s="716">
        <f t="shared" ca="1" si="3"/>
        <v>131</v>
      </c>
      <c r="O95" s="691">
        <f ca="1">IF(I95=1,MATCH($K$61,I95:$I$114,0),G95)</f>
        <v>685</v>
      </c>
      <c r="P95" s="716">
        <f t="shared" ca="1" si="4"/>
        <v>685</v>
      </c>
      <c r="R95" s="695">
        <f t="shared" ca="1" si="5"/>
        <v>1653.3333333333335</v>
      </c>
      <c r="S95" s="691">
        <f t="shared" ca="1" si="5"/>
        <v>0</v>
      </c>
      <c r="T95" s="695">
        <f t="shared" ca="1" si="6"/>
        <v>826.66666666666674</v>
      </c>
      <c r="U95" s="691">
        <f t="shared" ca="1" si="6"/>
        <v>41</v>
      </c>
      <c r="V95" s="695">
        <f t="shared" ca="1" si="7"/>
        <v>413.33333333333337</v>
      </c>
      <c r="W95" s="691">
        <f t="shared" ca="1" si="7"/>
        <v>389</v>
      </c>
    </row>
    <row r="96" spans="2:23">
      <c r="B96" s="695">
        <f ca="1">IF(Calc!AZ119&lt;$L$6,Calc!AZ119,$L$6)</f>
        <v>1666.6666666666665</v>
      </c>
      <c r="C96" s="692">
        <f ca="1">IF(Calc!BB119&lt;0,0,IF(Calc!BB119&lt;=$L$8,Calc!BB119,$L$8))</f>
        <v>0</v>
      </c>
      <c r="D96" s="697">
        <f ca="1">IF(Calc!BF119&lt;$L$5,Calc!BF119,$L$5)</f>
        <v>833.33333333333326</v>
      </c>
      <c r="E96" s="691">
        <f ca="1">IF(Calc!BH119&lt;0,0,IF(Calc!BH119&lt;=$L$8,Calc!BH119,$L$8))</f>
        <v>104</v>
      </c>
      <c r="F96" s="695">
        <f ca="1">IF(Calc!BL119&lt;$L$4,Calc!BL119,$L$4)</f>
        <v>416.66666666666663</v>
      </c>
      <c r="G96" s="691">
        <f ca="1">IF(Calc!BN119&lt;0,0,IF(Calc!BN119&lt;=$L$8,Calc!BN119,$L$8))</f>
        <v>632</v>
      </c>
      <c r="H96" s="696">
        <f ca="1">Calc!BJ119</f>
        <v>1.1653619340659311</v>
      </c>
      <c r="I96" s="691">
        <f t="shared" ca="1" si="1"/>
        <v>0</v>
      </c>
      <c r="K96" s="691">
        <f ca="1">IF(I96=1,MATCH($K$61,I96:$I$114,0),C96)</f>
        <v>0</v>
      </c>
      <c r="L96" s="716">
        <f t="shared" ca="1" si="2"/>
        <v>0</v>
      </c>
      <c r="M96" s="691">
        <f ca="1">IF(I96=1,MATCH($K$61,I96:$I$114,0),E96)</f>
        <v>104</v>
      </c>
      <c r="N96" s="716">
        <f t="shared" ca="1" si="3"/>
        <v>104</v>
      </c>
      <c r="O96" s="691">
        <f ca="1">IF(I96=1,MATCH($K$61,I96:$I$114,0),G96)</f>
        <v>632</v>
      </c>
      <c r="P96" s="716">
        <f t="shared" ca="1" si="4"/>
        <v>632</v>
      </c>
      <c r="R96" s="695">
        <f t="shared" ca="1" si="5"/>
        <v>1653.3333333333335</v>
      </c>
      <c r="S96" s="691">
        <f t="shared" ca="1" si="5"/>
        <v>0</v>
      </c>
      <c r="T96" s="695">
        <f t="shared" ca="1" si="6"/>
        <v>826.66666666666674</v>
      </c>
      <c r="U96" s="691">
        <f t="shared" ca="1" si="6"/>
        <v>33</v>
      </c>
      <c r="V96" s="695">
        <f t="shared" ca="1" si="7"/>
        <v>413.33333333333337</v>
      </c>
      <c r="W96" s="691">
        <f t="shared" ca="1" si="7"/>
        <v>379</v>
      </c>
    </row>
    <row r="97" spans="2:23">
      <c r="B97" s="695">
        <f ca="1">IF(Calc!AZ120&lt;$L$6,Calc!AZ120,$L$6)</f>
        <v>1666.6666666666665</v>
      </c>
      <c r="C97" s="692">
        <f ca="1">IF(Calc!BB120&lt;0,0,IF(Calc!BB120&lt;=$L$8,Calc!BB120,$L$8))</f>
        <v>0</v>
      </c>
      <c r="D97" s="697">
        <f ca="1">IF(Calc!BF120&lt;$L$5,Calc!BF120,$L$5)</f>
        <v>833.33333333333326</v>
      </c>
      <c r="E97" s="691">
        <f ca="1">IF(Calc!BH120&lt;0,0,IF(Calc!BH120&lt;=$L$8,Calc!BH120,$L$8))</f>
        <v>77</v>
      </c>
      <c r="F97" s="695">
        <f ca="1">IF(Calc!BL120&lt;$L$4,Calc!BL120,$L$4)</f>
        <v>416.66666666666663</v>
      </c>
      <c r="G97" s="691">
        <f ca="1">IF(Calc!BN120&lt;0,0,IF(Calc!BN120&lt;=$L$8,Calc!BN120,$L$8))</f>
        <v>578</v>
      </c>
      <c r="H97" s="696">
        <f ca="1">Calc!BJ120</f>
        <v>1.1056889670329642</v>
      </c>
      <c r="I97" s="691">
        <f t="shared" ca="1" si="1"/>
        <v>0</v>
      </c>
      <c r="K97" s="691">
        <f ca="1">IF(I97=1,MATCH($K$61,I97:$I$114,0),C97)</f>
        <v>0</v>
      </c>
      <c r="L97" s="716">
        <f t="shared" ca="1" si="2"/>
        <v>0</v>
      </c>
      <c r="M97" s="691">
        <f ca="1">IF(I97=1,MATCH($K$61,I97:$I$114,0),E97)</f>
        <v>77</v>
      </c>
      <c r="N97" s="716">
        <f t="shared" ca="1" si="3"/>
        <v>77</v>
      </c>
      <c r="O97" s="691">
        <f ca="1">IF(I97=1,MATCH($K$61,I97:$I$114,0),G97)</f>
        <v>578</v>
      </c>
      <c r="P97" s="716">
        <f t="shared" ca="1" si="4"/>
        <v>578</v>
      </c>
      <c r="R97" s="695">
        <f t="shared" ca="1" si="5"/>
        <v>1653.3333333333335</v>
      </c>
      <c r="S97" s="691">
        <f t="shared" ca="1" si="5"/>
        <v>0</v>
      </c>
      <c r="T97" s="695">
        <f t="shared" ca="1" si="6"/>
        <v>826.66666666666674</v>
      </c>
      <c r="U97" s="691">
        <f t="shared" ca="1" si="6"/>
        <v>25</v>
      </c>
      <c r="V97" s="695">
        <f t="shared" ca="1" si="7"/>
        <v>413.33333333333337</v>
      </c>
      <c r="W97" s="691">
        <f t="shared" ca="1" si="7"/>
        <v>369</v>
      </c>
    </row>
    <row r="98" spans="2:23">
      <c r="B98" s="695">
        <f ca="1">IF(Calc!AZ121&lt;$L$6,Calc!AZ121,$L$6)</f>
        <v>1666.6666666666665</v>
      </c>
      <c r="C98" s="692">
        <f ca="1">IF(Calc!BB121&lt;0,0,IF(Calc!BB121&lt;=$L$8,Calc!BB121,$L$8))</f>
        <v>0</v>
      </c>
      <c r="D98" s="697">
        <f ca="1">IF(Calc!BF121&lt;$L$5,Calc!BF121,$L$5)</f>
        <v>833.33333333333326</v>
      </c>
      <c r="E98" s="691">
        <f ca="1">IF(Calc!BH121&lt;0,0,IF(Calc!BH121&lt;=$L$8,Calc!BH121,$L$8))</f>
        <v>50</v>
      </c>
      <c r="F98" s="695">
        <f ca="1">IF(Calc!BL121&lt;$L$4,Calc!BL121,$L$4)</f>
        <v>416.66666666666663</v>
      </c>
      <c r="G98" s="691">
        <f ca="1">IF(Calc!BN121&lt;0,0,IF(Calc!BN121&lt;=$L$8,Calc!BN121,$L$8))</f>
        <v>523</v>
      </c>
      <c r="H98" s="696">
        <f ca="1">Calc!BJ121</f>
        <v>1.0454196043956014</v>
      </c>
      <c r="I98" s="691">
        <f t="shared" ca="1" si="1"/>
        <v>0</v>
      </c>
      <c r="K98" s="691">
        <f ca="1">IF(I98=1,MATCH($K$61,I98:$I$114,0),C98)</f>
        <v>0</v>
      </c>
      <c r="L98" s="716">
        <f t="shared" ca="1" si="2"/>
        <v>0</v>
      </c>
      <c r="M98" s="691">
        <f ca="1">IF(I98=1,MATCH($K$61,I98:$I$114,0),E98)</f>
        <v>50</v>
      </c>
      <c r="N98" s="716">
        <f t="shared" ca="1" si="3"/>
        <v>50</v>
      </c>
      <c r="O98" s="691">
        <f ca="1">IF(I98=1,MATCH($K$61,I98:$I$114,0),G98)</f>
        <v>523</v>
      </c>
      <c r="P98" s="716">
        <f t="shared" ca="1" si="4"/>
        <v>523</v>
      </c>
      <c r="R98" s="695">
        <f t="shared" ca="1" si="5"/>
        <v>1653.3333333333335</v>
      </c>
      <c r="S98" s="691">
        <f t="shared" ca="1" si="5"/>
        <v>0</v>
      </c>
      <c r="T98" s="695">
        <f t="shared" ca="1" si="6"/>
        <v>826.66666666666674</v>
      </c>
      <c r="U98" s="691">
        <f t="shared" ca="1" si="6"/>
        <v>17</v>
      </c>
      <c r="V98" s="695">
        <f t="shared" ca="1" si="7"/>
        <v>413.33333333333337</v>
      </c>
      <c r="W98" s="691">
        <f t="shared" ca="1" si="7"/>
        <v>359</v>
      </c>
    </row>
    <row r="99" spans="2:23">
      <c r="B99" s="695">
        <f ca="1">IF(Calc!AZ122&lt;$L$6,Calc!AZ122,$L$6)</f>
        <v>1666.6666666666665</v>
      </c>
      <c r="C99" s="692">
        <f ca="1">IF(Calc!BB122&lt;0,0,IF(Calc!BB122&lt;=$L$8,Calc!BB122,$L$8))</f>
        <v>0</v>
      </c>
      <c r="D99" s="697">
        <f ca="1">IF(Calc!BF122&lt;$L$5,Calc!BF122,$L$5)</f>
        <v>833.33333333333326</v>
      </c>
      <c r="E99" s="691">
        <f ca="1">IF(Calc!BH122&lt;0,0,IF(Calc!BH122&lt;=$L$8,Calc!BH122,$L$8))</f>
        <v>23</v>
      </c>
      <c r="F99" s="695">
        <f ca="1">IF(Calc!BL122&lt;$L$4,Calc!BL122,$L$4)</f>
        <v>416.66666666666663</v>
      </c>
      <c r="G99" s="691">
        <f ca="1">IF(Calc!BN122&lt;0,0,IF(Calc!BN122&lt;=$L$8,Calc!BN122,$L$8))</f>
        <v>468</v>
      </c>
      <c r="H99" s="696">
        <f ca="1">Calc!BJ122</f>
        <v>0.98455384615384289</v>
      </c>
      <c r="I99" s="691">
        <f t="shared" ca="1" si="1"/>
        <v>0</v>
      </c>
      <c r="K99" s="691">
        <f ca="1">IF(I99=1,MATCH($K$61,I99:$I$114,0),C99)</f>
        <v>0</v>
      </c>
      <c r="L99" s="716">
        <f t="shared" ca="1" si="2"/>
        <v>0</v>
      </c>
      <c r="M99" s="691">
        <f ca="1">IF(I99=1,MATCH($K$61,I99:$I$114,0),E99)</f>
        <v>23</v>
      </c>
      <c r="N99" s="716">
        <f t="shared" ca="1" si="3"/>
        <v>23</v>
      </c>
      <c r="O99" s="691">
        <f ca="1">IF(I99=1,MATCH($K$61,I99:$I$114,0),G99)</f>
        <v>468</v>
      </c>
      <c r="P99" s="716">
        <f t="shared" ca="1" si="4"/>
        <v>468</v>
      </c>
      <c r="R99" s="695">
        <f t="shared" ca="1" si="5"/>
        <v>1653.3333333333335</v>
      </c>
      <c r="S99" s="691">
        <f t="shared" ca="1" si="5"/>
        <v>0</v>
      </c>
      <c r="T99" s="695">
        <f t="shared" ca="1" si="6"/>
        <v>826.66666666666674</v>
      </c>
      <c r="U99" s="691">
        <f t="shared" ca="1" si="6"/>
        <v>8</v>
      </c>
      <c r="V99" s="695">
        <f t="shared" ca="1" si="7"/>
        <v>413.33333333333337</v>
      </c>
      <c r="W99" s="691">
        <f t="shared" ca="1" si="7"/>
        <v>349</v>
      </c>
    </row>
    <row r="100" spans="2:23">
      <c r="B100" s="695">
        <f ca="1">IF(Calc!AZ123&lt;$L$6,Calc!AZ123,$L$6)</f>
        <v>1666.6666666666665</v>
      </c>
      <c r="C100" s="692">
        <f ca="1">IF(Calc!BB123&lt;0,0,IF(Calc!BB123&lt;=$L$8,Calc!BB123,$L$8))</f>
        <v>0</v>
      </c>
      <c r="D100" s="697">
        <f ca="1">IF(Calc!BF123&lt;$L$5,Calc!BF123,$L$5)</f>
        <v>833.33333333333326</v>
      </c>
      <c r="E100" s="691">
        <f ca="1">IF(Calc!BH123&lt;0,0,IF(Calc!BH123&lt;=$L$8,Calc!BH123,$L$8))</f>
        <v>0</v>
      </c>
      <c r="F100" s="695">
        <f ca="1">IF(Calc!BL123&lt;$L$4,Calc!BL123,$L$4)</f>
        <v>416.66666666666663</v>
      </c>
      <c r="G100" s="691">
        <f ca="1">IF(Calc!BN123&lt;0,0,IF(Calc!BN123&lt;=$L$8,Calc!BN123,$L$8))</f>
        <v>412</v>
      </c>
      <c r="H100" s="696">
        <f ca="1">Calc!BJ123</f>
        <v>0.92309169230768928</v>
      </c>
      <c r="I100" s="691">
        <f t="shared" ca="1" si="1"/>
        <v>0</v>
      </c>
      <c r="K100" s="691">
        <f ca="1">IF(I100=1,MATCH($K$61,I100:$I$114,0),C100)</f>
        <v>0</v>
      </c>
      <c r="L100" s="716">
        <f t="shared" ca="1" si="2"/>
        <v>0</v>
      </c>
      <c r="M100" s="691">
        <f ca="1">IF(I100=1,MATCH($K$61,I100:$I$114,0),E100)</f>
        <v>0</v>
      </c>
      <c r="N100" s="716">
        <f t="shared" ca="1" si="3"/>
        <v>0</v>
      </c>
      <c r="O100" s="691">
        <f ca="1">IF(I100=1,MATCH($K$61,I100:$I$114,0),G100)</f>
        <v>412</v>
      </c>
      <c r="P100" s="716">
        <f t="shared" ca="1" si="4"/>
        <v>412</v>
      </c>
      <c r="R100" s="695">
        <f t="shared" ca="1" si="5"/>
        <v>1653.3333333333335</v>
      </c>
      <c r="S100" s="691">
        <f t="shared" ca="1" si="5"/>
        <v>0</v>
      </c>
      <c r="T100" s="695">
        <f t="shared" ca="1" si="6"/>
        <v>826.66666666666674</v>
      </c>
      <c r="U100" s="691">
        <f t="shared" ca="1" si="6"/>
        <v>0</v>
      </c>
      <c r="V100" s="695">
        <f t="shared" ca="1" si="7"/>
        <v>413.33333333333337</v>
      </c>
      <c r="W100" s="691">
        <f t="shared" ca="1" si="7"/>
        <v>339</v>
      </c>
    </row>
    <row r="101" spans="2:23">
      <c r="B101" s="695">
        <f ca="1">IF(Calc!AZ124&lt;$L$6,Calc!AZ124,$L$6)</f>
        <v>1666.6666666666665</v>
      </c>
      <c r="C101" s="692">
        <f ca="1">IF(Calc!BB124&lt;0,0,IF(Calc!BB124&lt;=$L$8,Calc!BB124,$L$8))</f>
        <v>0</v>
      </c>
      <c r="D101" s="697">
        <f ca="1">IF(Calc!BF124&lt;$L$5,Calc!BF124,$L$5)</f>
        <v>833.33333333333326</v>
      </c>
      <c r="E101" s="691">
        <f ca="1">IF(Calc!BH124&lt;0,0,IF(Calc!BH124&lt;=$L$8,Calc!BH124,$L$8))</f>
        <v>0</v>
      </c>
      <c r="F101" s="695">
        <f ca="1">IF(Calc!BL124&lt;$L$4,Calc!BL124,$L$4)</f>
        <v>416.66666666666663</v>
      </c>
      <c r="G101" s="691">
        <f ca="1">IF(Calc!BN124&lt;0,0,IF(Calc!BN124&lt;=$L$8,Calc!BN124,$L$8))</f>
        <v>356</v>
      </c>
      <c r="H101" s="696">
        <f ca="1">Calc!BJ124</f>
        <v>0.86103314285713972</v>
      </c>
      <c r="I101" s="691">
        <f t="shared" ca="1" si="1"/>
        <v>0</v>
      </c>
      <c r="K101" s="691">
        <f ca="1">IF(I101=1,MATCH($K$61,I101:$I$114,0),C101)</f>
        <v>0</v>
      </c>
      <c r="L101" s="716">
        <f t="shared" ca="1" si="2"/>
        <v>0</v>
      </c>
      <c r="M101" s="691">
        <f ca="1">IF(I101=1,MATCH($K$61,I101:$I$114,0),E101)</f>
        <v>0</v>
      </c>
      <c r="N101" s="716">
        <f t="shared" ca="1" si="3"/>
        <v>0</v>
      </c>
      <c r="O101" s="691">
        <f ca="1">IF(I101=1,MATCH($K$61,I101:$I$114,0),G101)</f>
        <v>356</v>
      </c>
      <c r="P101" s="716">
        <f t="shared" ca="1" si="4"/>
        <v>356</v>
      </c>
      <c r="R101" s="695">
        <f t="shared" ca="1" si="5"/>
        <v>1653.3333333333335</v>
      </c>
      <c r="S101" s="691">
        <f t="shared" ca="1" si="5"/>
        <v>0</v>
      </c>
      <c r="T101" s="695">
        <f t="shared" ca="1" si="6"/>
        <v>826.66666666666674</v>
      </c>
      <c r="U101" s="691">
        <f t="shared" ca="1" si="6"/>
        <v>0</v>
      </c>
      <c r="V101" s="695">
        <f t="shared" ca="1" si="7"/>
        <v>413.33333333333337</v>
      </c>
      <c r="W101" s="691">
        <f t="shared" ca="1" si="7"/>
        <v>329</v>
      </c>
    </row>
    <row r="102" spans="2:23">
      <c r="B102" s="695">
        <f ca="1">IF(Calc!AZ125&lt;$L$6,Calc!AZ125,$L$6)</f>
        <v>1666.6666666666665</v>
      </c>
      <c r="C102" s="692">
        <f ca="1">IF(Calc!BB125&lt;0,0,IF(Calc!BB125&lt;=$L$8,Calc!BB125,$L$8))</f>
        <v>0</v>
      </c>
      <c r="D102" s="697">
        <f ca="1">IF(Calc!BF125&lt;$L$5,Calc!BF125,$L$5)</f>
        <v>833.33333333333326</v>
      </c>
      <c r="E102" s="691">
        <f ca="1">IF(Calc!BH125&lt;0,0,IF(Calc!BH125&lt;=$L$8,Calc!BH125,$L$8))</f>
        <v>0</v>
      </c>
      <c r="F102" s="695">
        <f ca="1">IF(Calc!BL125&lt;$L$4,Calc!BL125,$L$4)</f>
        <v>416.66666666666663</v>
      </c>
      <c r="G102" s="691">
        <f ca="1">IF(Calc!BN125&lt;0,0,IF(Calc!BN125&lt;=$L$8,Calc!BN125,$L$8))</f>
        <v>300</v>
      </c>
      <c r="H102" s="696">
        <f ca="1">Calc!BJ125</f>
        <v>0.79837819780219466</v>
      </c>
      <c r="I102" s="691">
        <f t="shared" ca="1" si="1"/>
        <v>0</v>
      </c>
      <c r="K102" s="691">
        <f ca="1">IF(I102=1,MATCH($K$61,I102:$I$114,0),C102)</f>
        <v>0</v>
      </c>
      <c r="L102" s="716">
        <f t="shared" ca="1" si="2"/>
        <v>0</v>
      </c>
      <c r="M102" s="691">
        <f ca="1">IF(I102=1,MATCH($K$61,I102:$I$114,0),E102)</f>
        <v>0</v>
      </c>
      <c r="N102" s="716">
        <f t="shared" ca="1" si="3"/>
        <v>0</v>
      </c>
      <c r="O102" s="691">
        <f ca="1">IF(I102=1,MATCH($K$61,I102:$I$114,0),G102)</f>
        <v>300</v>
      </c>
      <c r="P102" s="716">
        <f t="shared" ca="1" si="4"/>
        <v>300</v>
      </c>
      <c r="R102" s="695">
        <f t="shared" ca="1" si="5"/>
        <v>1653.3333333333335</v>
      </c>
      <c r="S102" s="691">
        <f t="shared" ca="1" si="5"/>
        <v>0</v>
      </c>
      <c r="T102" s="695">
        <f t="shared" ca="1" si="6"/>
        <v>826.66666666666674</v>
      </c>
      <c r="U102" s="691">
        <f t="shared" ca="1" si="6"/>
        <v>0</v>
      </c>
      <c r="V102" s="695">
        <f t="shared" ca="1" si="7"/>
        <v>413.33333333333337</v>
      </c>
      <c r="W102" s="691">
        <f t="shared" ca="1" si="7"/>
        <v>319</v>
      </c>
    </row>
    <row r="103" spans="2:23">
      <c r="B103" s="695">
        <f ca="1">IF(Calc!AZ126&lt;$L$6,Calc!AZ126,$L$6)</f>
        <v>1666.6666666666665</v>
      </c>
      <c r="C103" s="692">
        <f ca="1">IF(Calc!BB126&lt;0,0,IF(Calc!BB126&lt;=$L$8,Calc!BB126,$L$8))</f>
        <v>0</v>
      </c>
      <c r="D103" s="697">
        <f ca="1">IF(Calc!BF126&lt;$L$5,Calc!BF126,$L$5)</f>
        <v>833.33333333333326</v>
      </c>
      <c r="E103" s="691">
        <f ca="1">IF(Calc!BH126&lt;0,0,IF(Calc!BH126&lt;=$L$8,Calc!BH126,$L$8))</f>
        <v>0</v>
      </c>
      <c r="F103" s="695">
        <f ca="1">IF(Calc!BL126&lt;$L$4,Calc!BL126,$L$4)</f>
        <v>416.66666666666663</v>
      </c>
      <c r="G103" s="691">
        <f ca="1">IF(Calc!BN126&lt;0,0,IF(Calc!BN126&lt;=$L$8,Calc!BN126,$L$8))</f>
        <v>242</v>
      </c>
      <c r="H103" s="696">
        <f ca="1">Calc!BJ126</f>
        <v>0.73512685714285386</v>
      </c>
      <c r="I103" s="691">
        <f t="shared" ca="1" si="1"/>
        <v>0</v>
      </c>
      <c r="K103" s="691">
        <f ca="1">IF(I103=1,MATCH($K$61,I103:$I$114,0),C103)</f>
        <v>0</v>
      </c>
      <c r="L103" s="716">
        <f t="shared" ca="1" si="2"/>
        <v>0</v>
      </c>
      <c r="M103" s="691">
        <f ca="1">IF(I103=1,MATCH($K$61,I103:$I$114,0),E103)</f>
        <v>0</v>
      </c>
      <c r="N103" s="716">
        <f t="shared" ca="1" si="3"/>
        <v>0</v>
      </c>
      <c r="O103" s="691">
        <f ca="1">IF(I103=1,MATCH($K$61,I103:$I$114,0),G103)</f>
        <v>242</v>
      </c>
      <c r="P103" s="716">
        <f t="shared" ca="1" si="4"/>
        <v>242</v>
      </c>
      <c r="R103" s="695">
        <f t="shared" ca="1" si="5"/>
        <v>1653.3333333333335</v>
      </c>
      <c r="S103" s="691">
        <f t="shared" ca="1" si="5"/>
        <v>0</v>
      </c>
      <c r="T103" s="695">
        <f t="shared" ca="1" si="6"/>
        <v>826.66666666666674</v>
      </c>
      <c r="U103" s="691">
        <f t="shared" ca="1" si="6"/>
        <v>0</v>
      </c>
      <c r="V103" s="695">
        <f t="shared" ca="1" si="7"/>
        <v>413.33333333333337</v>
      </c>
      <c r="W103" s="691">
        <f t="shared" ca="1" si="7"/>
        <v>309</v>
      </c>
    </row>
    <row r="104" spans="2:23">
      <c r="B104" s="695">
        <f ca="1">IF(Calc!AZ127&lt;$L$6,Calc!AZ127,$L$6)</f>
        <v>1666.6666666666665</v>
      </c>
      <c r="C104" s="692">
        <f ca="1">IF(Calc!BB127&lt;0,0,IF(Calc!BB127&lt;=$L$8,Calc!BB127,$L$8))</f>
        <v>0</v>
      </c>
      <c r="D104" s="697">
        <f ca="1">IF(Calc!BF127&lt;$L$5,Calc!BF127,$L$5)</f>
        <v>833.33333333333326</v>
      </c>
      <c r="E104" s="691">
        <f ca="1">IF(Calc!BH127&lt;0,0,IF(Calc!BH127&lt;=$L$8,Calc!BH127,$L$8))</f>
        <v>0</v>
      </c>
      <c r="F104" s="695">
        <f ca="1">IF(Calc!BL127&lt;$L$4,Calc!BL127,$L$4)</f>
        <v>416.66666666666663</v>
      </c>
      <c r="G104" s="691">
        <f ca="1">IF(Calc!BN127&lt;0,0,IF(Calc!BN127&lt;=$L$8,Calc!BN127,$L$8))</f>
        <v>185</v>
      </c>
      <c r="H104" s="696">
        <f ca="1">Calc!BJ127</f>
        <v>0.67127912087911767</v>
      </c>
      <c r="I104" s="691">
        <f t="shared" ca="1" si="1"/>
        <v>0</v>
      </c>
      <c r="K104" s="691">
        <f ca="1">IF(I104=1,MATCH($K$61,I104:$I$114,0),C104)</f>
        <v>0</v>
      </c>
      <c r="L104" s="716">
        <f t="shared" ca="1" si="2"/>
        <v>0</v>
      </c>
      <c r="M104" s="691">
        <f ca="1">IF(I104=1,MATCH($K$61,I104:$I$114,0),E104)</f>
        <v>0</v>
      </c>
      <c r="N104" s="716">
        <f t="shared" ca="1" si="3"/>
        <v>0</v>
      </c>
      <c r="O104" s="691">
        <f ca="1">IF(I104=1,MATCH($K$61,I104:$I$114,0),G104)</f>
        <v>185</v>
      </c>
      <c r="P104" s="716">
        <f t="shared" ca="1" si="4"/>
        <v>185</v>
      </c>
      <c r="R104" s="695">
        <f t="shared" ca="1" si="5"/>
        <v>1653.3333333333335</v>
      </c>
      <c r="S104" s="691">
        <f t="shared" ca="1" si="5"/>
        <v>0</v>
      </c>
      <c r="T104" s="695">
        <f t="shared" ca="1" si="6"/>
        <v>826.66666666666674</v>
      </c>
      <c r="U104" s="691">
        <f t="shared" ca="1" si="6"/>
        <v>0</v>
      </c>
      <c r="V104" s="695">
        <f t="shared" ca="1" si="7"/>
        <v>413.33333333333337</v>
      </c>
      <c r="W104" s="691">
        <f t="shared" ca="1" si="7"/>
        <v>299</v>
      </c>
    </row>
    <row r="105" spans="2:23">
      <c r="B105" s="695">
        <f ca="1">IF(Calc!AZ128&lt;$L$6,Calc!AZ128,$L$6)</f>
        <v>1666.6666666666665</v>
      </c>
      <c r="C105" s="692">
        <f ca="1">IF(Calc!BB128&lt;0,0,IF(Calc!BB128&lt;=$L$8,Calc!BB128,$L$8))</f>
        <v>0</v>
      </c>
      <c r="D105" s="697">
        <f ca="1">IF(Calc!BF128&lt;$L$5,Calc!BF128,$L$5)</f>
        <v>833.33333333333326</v>
      </c>
      <c r="E105" s="691">
        <f ca="1">IF(Calc!BH128&lt;0,0,IF(Calc!BH128&lt;=$L$8,Calc!BH128,$L$8))</f>
        <v>0</v>
      </c>
      <c r="F105" s="695">
        <f ca="1">IF(Calc!BL128&lt;$L$4,Calc!BL128,$L$4)</f>
        <v>416.66666666666663</v>
      </c>
      <c r="G105" s="691">
        <f ca="1">IF(Calc!BN128&lt;0,0,IF(Calc!BN128&lt;=$L$8,Calc!BN128,$L$8))</f>
        <v>126</v>
      </c>
      <c r="H105" s="696">
        <f ca="1">Calc!BJ128</f>
        <v>0.60683498901098565</v>
      </c>
      <c r="I105" s="691">
        <f t="shared" ca="1" si="1"/>
        <v>0</v>
      </c>
      <c r="K105" s="691">
        <f ca="1">IF(I105=1,MATCH($K$61,I105:$I$114,0),C105)</f>
        <v>0</v>
      </c>
      <c r="L105" s="716">
        <f t="shared" ca="1" si="2"/>
        <v>0</v>
      </c>
      <c r="M105" s="691">
        <f ca="1">IF(I105=1,MATCH($K$61,I105:$I$114,0),E105)</f>
        <v>0</v>
      </c>
      <c r="N105" s="716">
        <f t="shared" ca="1" si="3"/>
        <v>0</v>
      </c>
      <c r="O105" s="691">
        <f ca="1">IF(I105=1,MATCH($K$61,I105:$I$114,0),G105)</f>
        <v>126</v>
      </c>
      <c r="P105" s="716">
        <f t="shared" ca="1" si="4"/>
        <v>126</v>
      </c>
      <c r="R105" s="695">
        <f t="shared" ca="1" si="5"/>
        <v>1653.3333333333335</v>
      </c>
      <c r="S105" s="691">
        <f t="shared" ca="1" si="5"/>
        <v>0</v>
      </c>
      <c r="T105" s="695">
        <f t="shared" ca="1" si="6"/>
        <v>826.66666666666674</v>
      </c>
      <c r="U105" s="691">
        <f t="shared" ca="1" si="6"/>
        <v>0</v>
      </c>
      <c r="V105" s="695">
        <f t="shared" ca="1" si="7"/>
        <v>413.33333333333337</v>
      </c>
      <c r="W105" s="691">
        <f t="shared" ca="1" si="7"/>
        <v>289</v>
      </c>
    </row>
    <row r="106" spans="2:23">
      <c r="B106" s="695">
        <f ca="1">IF(Calc!AZ129&lt;$L$6,Calc!AZ129,$L$6)</f>
        <v>1666.6666666666665</v>
      </c>
      <c r="C106" s="692">
        <f ca="1">IF(Calc!BB129&lt;0,0,IF(Calc!BB129&lt;=$L$8,Calc!BB129,$L$8))</f>
        <v>0</v>
      </c>
      <c r="D106" s="697">
        <f ca="1">IF(Calc!BF129&lt;$L$5,Calc!BF129,$L$5)</f>
        <v>833.33333333333326</v>
      </c>
      <c r="E106" s="691">
        <f ca="1">IF(Calc!BH129&lt;0,0,IF(Calc!BH129&lt;=$L$8,Calc!BH129,$L$8))</f>
        <v>0</v>
      </c>
      <c r="F106" s="695">
        <f ca="1">IF(Calc!BL129&lt;$L$4,Calc!BL129,$L$4)</f>
        <v>416.66666666666663</v>
      </c>
      <c r="G106" s="691">
        <f ca="1">IF(Calc!BN129&lt;0,0,IF(Calc!BN129&lt;=$L$8,Calc!BN129,$L$8))</f>
        <v>67</v>
      </c>
      <c r="H106" s="696">
        <f ca="1">Calc!BJ129</f>
        <v>0.54179446153845823</v>
      </c>
      <c r="I106" s="691">
        <f t="shared" ca="1" si="1"/>
        <v>0</v>
      </c>
      <c r="K106" s="691">
        <f ca="1">IF(I106=1,MATCH($K$61,I106:$I$114,0),C106)</f>
        <v>0</v>
      </c>
      <c r="L106" s="716">
        <f t="shared" ca="1" si="2"/>
        <v>0</v>
      </c>
      <c r="M106" s="691">
        <f ca="1">IF(I106=1,MATCH($K$61,I106:$I$114,0),E106)</f>
        <v>0</v>
      </c>
      <c r="N106" s="716">
        <f t="shared" ca="1" si="3"/>
        <v>0</v>
      </c>
      <c r="O106" s="691">
        <f ca="1">IF(I106=1,MATCH($K$61,I106:$I$114,0),G106)</f>
        <v>67</v>
      </c>
      <c r="P106" s="716">
        <f t="shared" ca="1" si="4"/>
        <v>67</v>
      </c>
      <c r="R106" s="695">
        <f t="shared" ca="1" si="5"/>
        <v>1653.3333333333335</v>
      </c>
      <c r="S106" s="691">
        <f t="shared" ca="1" si="5"/>
        <v>0</v>
      </c>
      <c r="T106" s="695">
        <f t="shared" ca="1" si="6"/>
        <v>826.66666666666674</v>
      </c>
      <c r="U106" s="691">
        <f t="shared" ca="1" si="6"/>
        <v>0</v>
      </c>
      <c r="V106" s="695">
        <f t="shared" ca="1" si="7"/>
        <v>413.33333333333337</v>
      </c>
      <c r="W106" s="691">
        <f t="shared" ca="1" si="7"/>
        <v>279</v>
      </c>
    </row>
    <row r="107" spans="2:23">
      <c r="B107" s="695">
        <f ca="1">IF(Calc!AZ130&lt;$L$6,Calc!AZ130,$L$6)</f>
        <v>1666.6666666666665</v>
      </c>
      <c r="C107" s="692">
        <f ca="1">IF(Calc!BB130&lt;0,0,IF(Calc!BB130&lt;=$L$8,Calc!BB130,$L$8))</f>
        <v>0</v>
      </c>
      <c r="D107" s="697">
        <f ca="1">IF(Calc!BF130&lt;$L$5,Calc!BF130,$L$5)</f>
        <v>833.33333333333326</v>
      </c>
      <c r="E107" s="691">
        <f ca="1">IF(Calc!BH130&lt;0,0,IF(Calc!BH130&lt;=$L$8,Calc!BH130,$L$8))</f>
        <v>0</v>
      </c>
      <c r="F107" s="695">
        <f ca="1">IF(Calc!BL130&lt;$L$4,Calc!BL130,$L$4)</f>
        <v>416.66666666666663</v>
      </c>
      <c r="G107" s="691">
        <f ca="1">IF(Calc!BN130&lt;0,0,IF(Calc!BN130&lt;=$L$8,Calc!BN130,$L$8))</f>
        <v>8</v>
      </c>
      <c r="H107" s="696">
        <f ca="1">Calc!BJ130</f>
        <v>0.47615753846153508</v>
      </c>
      <c r="I107" s="691">
        <f t="shared" ca="1" si="1"/>
        <v>0</v>
      </c>
      <c r="K107" s="691">
        <f ca="1">IF(I107=1,MATCH($K$61,I107:$I$114,0),C107)</f>
        <v>0</v>
      </c>
      <c r="L107" s="716">
        <f t="shared" ca="1" si="2"/>
        <v>0</v>
      </c>
      <c r="M107" s="691">
        <f ca="1">IF(I107=1,MATCH($K$61,I107:$I$114,0),E107)</f>
        <v>0</v>
      </c>
      <c r="N107" s="716">
        <f t="shared" ca="1" si="3"/>
        <v>0</v>
      </c>
      <c r="O107" s="691">
        <f ca="1">IF(I107=1,MATCH($K$61,I107:$I$114,0),G107)</f>
        <v>8</v>
      </c>
      <c r="P107" s="716">
        <f t="shared" ca="1" si="4"/>
        <v>8</v>
      </c>
      <c r="R107" s="695">
        <f t="shared" ca="1" si="5"/>
        <v>1653.3333333333335</v>
      </c>
      <c r="S107" s="691">
        <f t="shared" ca="1" si="5"/>
        <v>0</v>
      </c>
      <c r="T107" s="695">
        <f t="shared" ca="1" si="6"/>
        <v>826.66666666666674</v>
      </c>
      <c r="U107" s="691">
        <f t="shared" ca="1" si="6"/>
        <v>0</v>
      </c>
      <c r="V107" s="695">
        <f t="shared" ca="1" si="7"/>
        <v>413.33333333333337</v>
      </c>
      <c r="W107" s="691">
        <f t="shared" ca="1" si="7"/>
        <v>270</v>
      </c>
    </row>
    <row r="108" spans="2:23">
      <c r="B108" s="695">
        <f ca="1">IF(Calc!AZ131&lt;$L$6,Calc!AZ131,$L$6)</f>
        <v>1666.6666666666665</v>
      </c>
      <c r="C108" s="692">
        <f ca="1">IF(Calc!BB131&lt;0,0,IF(Calc!BB131&lt;=$L$8,Calc!BB131,$L$8))</f>
        <v>0</v>
      </c>
      <c r="D108" s="697">
        <f ca="1">IF(Calc!BF131&lt;$L$5,Calc!BF131,$L$5)</f>
        <v>833.33333333333326</v>
      </c>
      <c r="E108" s="691">
        <f ca="1">IF(Calc!BH131&lt;0,0,IF(Calc!BH131&lt;=$L$8,Calc!BH131,$L$8))</f>
        <v>0</v>
      </c>
      <c r="F108" s="695">
        <f ca="1">IF(Calc!BL131&lt;$L$4,Calc!BL131,$L$4)</f>
        <v>416.66666666666663</v>
      </c>
      <c r="G108" s="691">
        <f ca="1">IF(Calc!BN131&lt;0,0,IF(Calc!BN131&lt;=$L$8,Calc!BN131,$L$8))</f>
        <v>0</v>
      </c>
      <c r="H108" s="696">
        <f ca="1">Calc!BJ131</f>
        <v>0.40992421978021643</v>
      </c>
      <c r="I108" s="691">
        <f t="shared" ca="1" si="1"/>
        <v>0</v>
      </c>
      <c r="K108" s="691">
        <f ca="1">IF(I108=1,MATCH($K$61,I108:$I$114,0),C108)</f>
        <v>0</v>
      </c>
      <c r="L108" s="716">
        <f t="shared" ca="1" si="2"/>
        <v>0</v>
      </c>
      <c r="M108" s="691">
        <f ca="1">IF(I108=1,MATCH($K$61,I108:$I$114,0),E108)</f>
        <v>0</v>
      </c>
      <c r="N108" s="716">
        <f t="shared" ca="1" si="3"/>
        <v>0</v>
      </c>
      <c r="O108" s="691">
        <f ca="1">IF(I108=1,MATCH($K$61,I108:$I$114,0),G108)</f>
        <v>0</v>
      </c>
      <c r="P108" s="716">
        <f t="shared" ca="1" si="4"/>
        <v>0</v>
      </c>
      <c r="R108" s="695">
        <f t="shared" ca="1" si="5"/>
        <v>1653.3333333333335</v>
      </c>
      <c r="S108" s="691">
        <f t="shared" ca="1" si="5"/>
        <v>0</v>
      </c>
      <c r="T108" s="695">
        <f t="shared" ca="1" si="6"/>
        <v>826.66666666666674</v>
      </c>
      <c r="U108" s="691">
        <f t="shared" ca="1" si="6"/>
        <v>0</v>
      </c>
      <c r="V108" s="695">
        <f t="shared" ca="1" si="7"/>
        <v>413.33333333333337</v>
      </c>
      <c r="W108" s="691">
        <f t="shared" ca="1" si="7"/>
        <v>260</v>
      </c>
    </row>
    <row r="109" spans="2:23">
      <c r="B109" s="695">
        <f ca="1">IF(Calc!AZ132&lt;$L$6,Calc!AZ132,$L$6)</f>
        <v>1666.6666666666665</v>
      </c>
      <c r="C109" s="692">
        <f ca="1">IF(Calc!BB132&lt;0,0,IF(Calc!BB132&lt;=$L$8,Calc!BB132,$L$8))</f>
        <v>0</v>
      </c>
      <c r="D109" s="697">
        <f ca="1">IF(Calc!BF132&lt;$L$5,Calc!BF132,$L$5)</f>
        <v>833.33333333333326</v>
      </c>
      <c r="E109" s="695">
        <f ca="1">IF(Calc!BH132&lt;0,0,IF(Calc!BH132&lt;=$L$8,Calc!BH132,$L$8))</f>
        <v>0</v>
      </c>
      <c r="F109" s="695">
        <f ca="1">IF(Calc!BL132&lt;$L$4,Calc!BL132,$L$4)</f>
        <v>416.66666666666663</v>
      </c>
      <c r="G109" s="691">
        <f ca="1">IF(Calc!BN132&lt;0,0,IF(Calc!BN132&lt;=$L$8,Calc!BN132,$L$8))</f>
        <v>0</v>
      </c>
      <c r="H109" s="696">
        <f ca="1">Calc!BJ132</f>
        <v>0.3430945054945021</v>
      </c>
      <c r="I109" s="691">
        <f t="shared" ca="1" si="1"/>
        <v>0</v>
      </c>
      <c r="J109" s="695"/>
      <c r="K109" s="691">
        <f ca="1">IF(I109=1,MATCH($K$61,I109:$I$114,0),C109)</f>
        <v>0</v>
      </c>
      <c r="L109" s="716">
        <f t="shared" ca="1" si="2"/>
        <v>0</v>
      </c>
      <c r="M109" s="691">
        <f ca="1">IF(I109=1,MATCH($K$61,I109:$I$114,0),E109)</f>
        <v>0</v>
      </c>
      <c r="N109" s="716">
        <f t="shared" ca="1" si="3"/>
        <v>0</v>
      </c>
      <c r="O109" s="691">
        <f ca="1">IF(I109=1,MATCH($K$61,I109:$I$114,0),G109)</f>
        <v>0</v>
      </c>
      <c r="P109" s="716">
        <f t="shared" ca="1" si="4"/>
        <v>0</v>
      </c>
      <c r="R109" s="695">
        <f t="shared" ca="1" si="5"/>
        <v>1653.3333333333335</v>
      </c>
      <c r="S109" s="691">
        <f t="shared" ca="1" si="5"/>
        <v>0</v>
      </c>
      <c r="T109" s="695">
        <f t="shared" ca="1" si="6"/>
        <v>826.66666666666674</v>
      </c>
      <c r="U109" s="691">
        <f t="shared" ca="1" si="6"/>
        <v>0</v>
      </c>
      <c r="V109" s="695">
        <f t="shared" ca="1" si="7"/>
        <v>413.33333333333337</v>
      </c>
      <c r="W109" s="691">
        <f t="shared" ca="1" si="7"/>
        <v>250</v>
      </c>
    </row>
    <row r="110" spans="2:23">
      <c r="B110" s="695">
        <f ca="1">IF(Calc!AZ133&lt;$L$6,Calc!AZ133,$L$6)</f>
        <v>1666.6666666666665</v>
      </c>
      <c r="C110" s="692">
        <f ca="1">IF(Calc!BB133&lt;0,0,IF(Calc!BB133&lt;=$L$8,Calc!BB133,$L$8))</f>
        <v>0</v>
      </c>
      <c r="D110" s="697">
        <f ca="1">IF(Calc!BF133&lt;$L$5,Calc!BF133,$L$5)</f>
        <v>833.33333333333326</v>
      </c>
      <c r="E110" s="695">
        <f ca="1">IF(Calc!BH133&lt;0,0,IF(Calc!BH133&lt;=$L$8,Calc!BH133,$L$8))</f>
        <v>0</v>
      </c>
      <c r="F110" s="695">
        <f ca="1">IF(Calc!BL133&lt;$L$4,Calc!BL133,$L$4)</f>
        <v>416.66666666666663</v>
      </c>
      <c r="G110" s="691">
        <f ca="1">IF(Calc!BN133&lt;0,0,IF(Calc!BN133&lt;=$L$8,Calc!BN133,$L$8))</f>
        <v>0</v>
      </c>
      <c r="H110" s="696">
        <f ca="1">Calc!BJ133</f>
        <v>0.27566839560439221</v>
      </c>
      <c r="I110" s="691">
        <f t="shared" ca="1" si="1"/>
        <v>0</v>
      </c>
      <c r="J110" s="695"/>
      <c r="K110" s="691">
        <f ca="1">IF(I110=1,MATCH($K$61,I110:$I$114,0),C110)</f>
        <v>0</v>
      </c>
      <c r="L110" s="716">
        <f t="shared" ca="1" si="2"/>
        <v>0</v>
      </c>
      <c r="M110" s="691">
        <f ca="1">IF(I110=1,MATCH($K$61,I110:$I$114,0),E110)</f>
        <v>0</v>
      </c>
      <c r="N110" s="716">
        <f t="shared" ca="1" si="3"/>
        <v>0</v>
      </c>
      <c r="O110" s="691">
        <f ca="1">IF(I110=1,MATCH($K$61,I110:$I$114,0),G110)</f>
        <v>0</v>
      </c>
      <c r="P110" s="716">
        <f t="shared" ca="1" si="4"/>
        <v>0</v>
      </c>
      <c r="R110" s="695">
        <f t="shared" ca="1" si="5"/>
        <v>1653.3333333333335</v>
      </c>
      <c r="S110" s="691">
        <f t="shared" ca="1" si="5"/>
        <v>0</v>
      </c>
      <c r="T110" s="695">
        <f t="shared" ca="1" si="6"/>
        <v>826.66666666666674</v>
      </c>
      <c r="U110" s="691">
        <f t="shared" ca="1" si="6"/>
        <v>0</v>
      </c>
      <c r="V110" s="695">
        <f t="shared" ca="1" si="7"/>
        <v>413.33333333333337</v>
      </c>
      <c r="W110" s="691">
        <f t="shared" ca="1" si="7"/>
        <v>240</v>
      </c>
    </row>
    <row r="111" spans="2:23">
      <c r="B111" s="695">
        <f ca="1">IF(Calc!AZ134&lt;$L$6,Calc!AZ134,$L$6)</f>
        <v>1666.6666666666665</v>
      </c>
      <c r="C111" s="692">
        <f ca="1">IF(Calc!BB134&lt;0,0,IF(Calc!BB134&lt;=$L$8,Calc!BB134,$L$8))</f>
        <v>0</v>
      </c>
      <c r="D111" s="697">
        <f ca="1">IF(Calc!BF134&lt;$L$5,Calc!BF134,$L$5)</f>
        <v>833.33333333333326</v>
      </c>
      <c r="E111" s="695">
        <f ca="1">IF(Calc!BH134&lt;0,0,IF(Calc!BH134&lt;=$L$8,Calc!BH134,$L$8))</f>
        <v>0</v>
      </c>
      <c r="F111" s="695">
        <f ca="1">IF(Calc!BL134&lt;$L$4,Calc!BL134,$L$4)</f>
        <v>416.66666666666663</v>
      </c>
      <c r="G111" s="691">
        <f ca="1">IF(Calc!BN134&lt;0,0,IF(Calc!BN134&lt;=$L$8,Calc!BN134,$L$8))</f>
        <v>0</v>
      </c>
      <c r="H111" s="696">
        <f ca="1">Calc!BJ134</f>
        <v>0.20764589010988635</v>
      </c>
      <c r="I111" s="691">
        <f t="shared" ca="1" si="1"/>
        <v>0</v>
      </c>
      <c r="K111" s="691">
        <f ca="1">IF(I111=1,MATCH($K$61,I111:$I$114,0),C111)</f>
        <v>0</v>
      </c>
      <c r="L111" s="716">
        <f t="shared" ca="1" si="2"/>
        <v>0</v>
      </c>
      <c r="M111" s="691">
        <f ca="1">IF(I111=1,MATCH($K$61,I111:$I$114,0),E111)</f>
        <v>0</v>
      </c>
      <c r="N111" s="716">
        <f t="shared" ca="1" si="3"/>
        <v>0</v>
      </c>
      <c r="O111" s="691">
        <f ca="1">IF(I111=1,MATCH($K$61,I111:$I$114,0),G111)</f>
        <v>0</v>
      </c>
      <c r="P111" s="716">
        <f t="shared" ca="1" si="4"/>
        <v>0</v>
      </c>
      <c r="R111" s="695">
        <f t="shared" ca="1" si="5"/>
        <v>1653.3333333333335</v>
      </c>
      <c r="S111" s="691">
        <f t="shared" ca="1" si="5"/>
        <v>0</v>
      </c>
      <c r="T111" s="695">
        <f t="shared" ca="1" si="6"/>
        <v>826.66666666666674</v>
      </c>
      <c r="U111" s="691">
        <f t="shared" ca="1" si="6"/>
        <v>0</v>
      </c>
      <c r="V111" s="695">
        <f t="shared" ca="1" si="7"/>
        <v>413.33333333333337</v>
      </c>
      <c r="W111" s="691">
        <f t="shared" ca="1" si="7"/>
        <v>230</v>
      </c>
    </row>
    <row r="112" spans="2:23">
      <c r="B112" s="695">
        <f ca="1">IF(Calc!AZ135&lt;$L$6,Calc!AZ135,$L$6)</f>
        <v>1666.6666666666665</v>
      </c>
      <c r="C112" s="692">
        <f ca="1">IF(Calc!BB135&lt;0,0,IF(Calc!BB135&lt;=$L$8,Calc!BB135,$L$8))</f>
        <v>0</v>
      </c>
      <c r="D112" s="697">
        <f ca="1">IF(Calc!BF135&lt;$L$5,Calc!BF135,$L$5)</f>
        <v>833.33333333333326</v>
      </c>
      <c r="E112" s="695">
        <f ca="1">IF(Calc!BH135&lt;0,0,IF(Calc!BH135&lt;=$L$8,Calc!BH135,$L$8))</f>
        <v>0</v>
      </c>
      <c r="F112" s="695">
        <f ca="1">IF(Calc!BL135&lt;$L$4,Calc!BL135,$L$4)</f>
        <v>416.66666666666663</v>
      </c>
      <c r="G112" s="691">
        <f ca="1">IF(Calc!BN135&lt;0,0,IF(Calc!BN135&lt;=$L$8,Calc!BN135,$L$8))</f>
        <v>0</v>
      </c>
      <c r="H112" s="696">
        <f ca="1">Calc!BJ135</f>
        <v>0.13902698901098556</v>
      </c>
      <c r="I112" s="691">
        <f t="shared" ca="1" si="1"/>
        <v>0</v>
      </c>
      <c r="J112" s="695"/>
      <c r="K112" s="691">
        <f ca="1">IF(I112=1,MATCH($K$61,I112:$I$114,0),C112)</f>
        <v>0</v>
      </c>
      <c r="L112" s="716">
        <f t="shared" ca="1" si="2"/>
        <v>0</v>
      </c>
      <c r="M112" s="691">
        <f ca="1">IF(I112=1,MATCH($K$61,I112:$I$114,0),E112)</f>
        <v>0</v>
      </c>
      <c r="N112" s="716">
        <f t="shared" ca="1" si="3"/>
        <v>0</v>
      </c>
      <c r="O112" s="691">
        <f ca="1">IF(I112=1,MATCH($K$61,I112:$I$114,0),G112)</f>
        <v>0</v>
      </c>
      <c r="P112" s="716">
        <f t="shared" ca="1" si="4"/>
        <v>0</v>
      </c>
      <c r="R112" s="695">
        <f t="shared" ca="1" si="5"/>
        <v>1653.3333333333335</v>
      </c>
      <c r="S112" s="691">
        <f t="shared" ca="1" si="5"/>
        <v>0</v>
      </c>
      <c r="T112" s="695">
        <f t="shared" ca="1" si="6"/>
        <v>826.66666666666674</v>
      </c>
      <c r="U112" s="691">
        <f t="shared" ca="1" si="6"/>
        <v>0</v>
      </c>
      <c r="V112" s="695">
        <f t="shared" ca="1" si="7"/>
        <v>413.33333333333337</v>
      </c>
      <c r="W112" s="691">
        <f t="shared" ca="1" si="7"/>
        <v>220</v>
      </c>
    </row>
    <row r="113" spans="1:23">
      <c r="B113" s="695">
        <f ca="1">IF(Calc!AZ136&lt;$L$6,Calc!AZ136,$L$6)</f>
        <v>1666.6666666666665</v>
      </c>
      <c r="C113" s="692">
        <f ca="1">IF(Calc!BB136&lt;0,0,IF(Calc!BB136&lt;=$L$8,Calc!BB136,$L$8))</f>
        <v>0</v>
      </c>
      <c r="D113" s="697">
        <f ca="1">IF(Calc!BF136&lt;$L$5,Calc!BF136,$L$5)</f>
        <v>833.33333333333326</v>
      </c>
      <c r="E113" s="695">
        <f ca="1">IF(Calc!BH136&lt;0,0,IF(Calc!BH136&lt;=$L$8,Calc!BH136,$L$8))</f>
        <v>0</v>
      </c>
      <c r="F113" s="695">
        <f ca="1">IF(Calc!BL136&lt;$L$4,Calc!BL136,$L$4)</f>
        <v>416.66666666666663</v>
      </c>
      <c r="G113" s="691">
        <f ca="1">IF(Calc!BN136&lt;0,0,IF(Calc!BN136&lt;=$L$8,Calc!BN136,$L$8))</f>
        <v>0</v>
      </c>
      <c r="H113" s="696">
        <f ca="1">Calc!BJ136</f>
        <v>6.9811692307688827E-2</v>
      </c>
      <c r="I113" s="691">
        <f t="shared" ca="1" si="1"/>
        <v>0</v>
      </c>
      <c r="J113" s="695"/>
      <c r="K113" s="691">
        <f ca="1">IF(I113=1,MATCH($K$61,I113:$I$114,0),C113)</f>
        <v>0</v>
      </c>
      <c r="L113" s="716">
        <f t="shared" ca="1" si="2"/>
        <v>0</v>
      </c>
      <c r="M113" s="691">
        <f ca="1">IF(I113=1,MATCH($K$61,I113:$I$114,0),E113)</f>
        <v>0</v>
      </c>
      <c r="N113" s="716">
        <f t="shared" ca="1" si="3"/>
        <v>0</v>
      </c>
      <c r="O113" s="691">
        <f ca="1">IF(I113=1,MATCH($K$61,I113:$I$114,0),G113)</f>
        <v>0</v>
      </c>
      <c r="P113" s="716">
        <f t="shared" ca="1" si="4"/>
        <v>0</v>
      </c>
      <c r="R113" s="695">
        <f t="shared" ca="1" si="5"/>
        <v>1653.3333333333335</v>
      </c>
      <c r="S113" s="691">
        <f t="shared" ca="1" si="5"/>
        <v>0</v>
      </c>
      <c r="T113" s="695">
        <f t="shared" ca="1" si="6"/>
        <v>826.66666666666674</v>
      </c>
      <c r="U113" s="691">
        <f t="shared" ca="1" si="6"/>
        <v>0</v>
      </c>
      <c r="V113" s="695">
        <f t="shared" ca="1" si="7"/>
        <v>413.33333333333337</v>
      </c>
      <c r="W113" s="691">
        <f t="shared" ca="1" si="7"/>
        <v>211</v>
      </c>
    </row>
    <row r="114" spans="1:23">
      <c r="B114" s="695">
        <f ca="1">IF(Calc!AZ137&lt;$L$6,Calc!AZ137,$L$6)</f>
        <v>1666.6666666666665</v>
      </c>
      <c r="C114" s="692">
        <f ca="1">IF(Calc!BB137&lt;0,0,IF(Calc!BB137&lt;=$L$8,Calc!BB137,$L$8))</f>
        <v>0</v>
      </c>
      <c r="D114" s="697">
        <f ca="1">IF(Calc!BF137&lt;$L$5,Calc!BF137,$L$5)</f>
        <v>833.33333333333326</v>
      </c>
      <c r="E114" s="695">
        <f ca="1">IF(Calc!BH137&lt;0,0,IF(Calc!BH137&lt;=$L$8,Calc!BH137,$L$8))</f>
        <v>0</v>
      </c>
      <c r="F114" s="695">
        <f ca="1">IF(Calc!BL137&lt;$L$4,Calc!BL137,$L$4)</f>
        <v>416.66666666666663</v>
      </c>
      <c r="G114" s="691">
        <f ca="1">IF(Calc!BN137&lt;0,0,IF(Calc!BN137&lt;=$L$8,Calc!BN137,$L$8))</f>
        <v>0</v>
      </c>
      <c r="H114" s="696">
        <f ca="1">Calc!BJ137</f>
        <v>0</v>
      </c>
      <c r="I114" s="691">
        <f t="shared" ca="1" si="1"/>
        <v>0</v>
      </c>
      <c r="J114" s="695"/>
      <c r="K114" s="691">
        <f ca="1">IF(I114=1,MATCH($K$61,I114:$I$114,0),C114)</f>
        <v>0</v>
      </c>
      <c r="L114" s="716">
        <f t="shared" ca="1" si="2"/>
        <v>0</v>
      </c>
      <c r="M114" s="691">
        <f ca="1">IF(I114=1,MATCH($K$61,I114:$I$114,0),E114)</f>
        <v>0</v>
      </c>
      <c r="N114" s="716">
        <f t="shared" ca="1" si="3"/>
        <v>0</v>
      </c>
      <c r="O114" s="691">
        <f ca="1">IF(I114=1,MATCH($K$61,I114:$I$114,0),G114)</f>
        <v>0</v>
      </c>
      <c r="P114" s="716">
        <f t="shared" ca="1" si="4"/>
        <v>0</v>
      </c>
      <c r="R114" s="695">
        <f t="shared" ca="1" si="5"/>
        <v>1653.3333333333335</v>
      </c>
      <c r="S114" s="691">
        <f t="shared" si="5"/>
        <v>0</v>
      </c>
      <c r="T114" s="695">
        <f t="shared" ca="1" si="6"/>
        <v>826.66666666666674</v>
      </c>
      <c r="U114" s="691">
        <f t="shared" si="6"/>
        <v>0</v>
      </c>
      <c r="V114" s="695">
        <f t="shared" ca="1" si="7"/>
        <v>413.33333333333337</v>
      </c>
      <c r="W114" s="691">
        <f t="shared" si="7"/>
        <v>0</v>
      </c>
    </row>
    <row r="115" spans="1:23">
      <c r="D115" s="696"/>
      <c r="T115" s="695"/>
    </row>
    <row r="116" spans="1:23">
      <c r="A116" s="692" t="str">
        <f ca="1">B2</f>
        <v>AKM22E</v>
      </c>
      <c r="B116" s="691" t="str">
        <f ca="1">D2</f>
        <v>(240 VAC)</v>
      </c>
    </row>
    <row r="117" spans="1:23">
      <c r="B117" s="691" t="s">
        <v>12</v>
      </c>
      <c r="C117" s="691" t="s">
        <v>1857</v>
      </c>
      <c r="E117" s="691" t="s">
        <v>12</v>
      </c>
      <c r="F117" s="691" t="s">
        <v>1857</v>
      </c>
      <c r="H117" s="691" t="s">
        <v>12</v>
      </c>
      <c r="I117" s="691" t="s">
        <v>1857</v>
      </c>
    </row>
    <row r="118" spans="1:23">
      <c r="B118" s="691">
        <v>0</v>
      </c>
      <c r="C118" s="691">
        <f ca="1">C102</f>
        <v>0</v>
      </c>
      <c r="E118" s="691">
        <v>0</v>
      </c>
      <c r="F118" s="691">
        <f ca="1">E102</f>
        <v>0</v>
      </c>
      <c r="H118" s="691">
        <v>0</v>
      </c>
      <c r="I118" s="691">
        <f ca="1">G102</f>
        <v>300</v>
      </c>
    </row>
    <row r="119" spans="1:23">
      <c r="B119" s="695">
        <f ca="1">B102</f>
        <v>1666.6666666666665</v>
      </c>
      <c r="C119" s="691">
        <f ca="1">C118</f>
        <v>0</v>
      </c>
      <c r="E119" s="695">
        <f ca="1">D102</f>
        <v>833.33333333333326</v>
      </c>
      <c r="F119" s="691">
        <f ca="1">F118</f>
        <v>0</v>
      </c>
      <c r="H119" s="695">
        <f ca="1">F102</f>
        <v>416.66666666666663</v>
      </c>
      <c r="I119" s="691">
        <f ca="1">I118</f>
        <v>300</v>
      </c>
    </row>
    <row r="120" spans="1:23">
      <c r="B120" s="691">
        <v>0</v>
      </c>
      <c r="C120" s="691">
        <v>0</v>
      </c>
      <c r="E120" s="691">
        <v>0</v>
      </c>
      <c r="F120" s="691">
        <v>0</v>
      </c>
      <c r="H120" s="691">
        <v>0</v>
      </c>
      <c r="I120" s="691">
        <v>0</v>
      </c>
    </row>
    <row r="122" spans="1:23">
      <c r="A122" s="692"/>
    </row>
    <row r="127" spans="1:23">
      <c r="A127" s="692"/>
    </row>
  </sheetData>
  <mergeCells count="1">
    <mergeCell ref="L58:P58"/>
  </mergeCells>
  <conditionalFormatting sqref="H63:H114">
    <cfRule type="cellIs" dxfId="2" priority="1" operator="greaterThan">
      <formula>$E$59</formula>
    </cfRule>
  </conditionalFormatting>
  <pageMargins left="0.7" right="0.7" top="0.75" bottom="0.75" header="0.3" footer="0.3"/>
  <pageSetup paperSize="9" orientation="portrait" r:id="rId1"/>
  <customProperties>
    <customPr name="workbookAdvencedSettings" r:id="rId2"/>
    <customPr name="workbookExecutionSettings" r:id="rId3"/>
    <customPr name="workbookGatewaySettings" r:id="rId4"/>
  </customPropertie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S121"/>
  <sheetViews>
    <sheetView topLeftCell="A37" workbookViewId="0">
      <selection activeCell="I38" sqref="I38"/>
    </sheetView>
  </sheetViews>
  <sheetFormatPr defaultRowHeight="12.75"/>
  <cols>
    <col min="1" max="6" width="9.140625" style="691"/>
    <col min="7" max="7" width="10.7109375" style="691" bestFit="1" customWidth="1"/>
    <col min="8" max="8" width="9.140625" style="691"/>
    <col min="9" max="9" width="10.7109375" style="691" bestFit="1" customWidth="1"/>
    <col min="10" max="10" width="9.140625" style="691"/>
    <col min="11" max="12" width="10.140625" style="691" bestFit="1" customWidth="1"/>
    <col min="13" max="16384" width="9.140625" style="691"/>
  </cols>
  <sheetData>
    <row r="1" spans="2:14">
      <c r="B1" s="690" t="s">
        <v>182</v>
      </c>
      <c r="D1" s="690" t="s">
        <v>375</v>
      </c>
    </row>
    <row r="2" spans="2:14">
      <c r="B2" s="691" t="str">
        <f ca="1">Calc!$A$2</f>
        <v>AKM22E</v>
      </c>
      <c r="D2" s="691" t="str">
        <f ca="1">IF(Calc!$C$2=160,"(120 VAC)",IF(Calc!$C$2=320,"(240 VAC)","(400 VAC)"))</f>
        <v>(240 VAC)</v>
      </c>
      <c r="I2" s="692" t="s">
        <v>103</v>
      </c>
      <c r="J2" s="692" t="s">
        <v>12</v>
      </c>
      <c r="M2" s="692" t="s">
        <v>1853</v>
      </c>
    </row>
    <row r="3" spans="2:14">
      <c r="B3" s="690" t="s">
        <v>1831</v>
      </c>
      <c r="D3" s="690" t="s">
        <v>1832</v>
      </c>
      <c r="I3" s="693" t="s">
        <v>21</v>
      </c>
      <c r="J3" s="691">
        <v>400</v>
      </c>
      <c r="M3" s="691" t="s">
        <v>347</v>
      </c>
    </row>
    <row r="4" spans="2:14">
      <c r="B4" s="691" t="s">
        <v>12</v>
      </c>
      <c r="C4" s="691" t="s">
        <v>1855</v>
      </c>
      <c r="D4" s="691" t="s">
        <v>12</v>
      </c>
      <c r="E4" s="691" t="s">
        <v>1855</v>
      </c>
      <c r="I4" s="693" t="s">
        <v>22</v>
      </c>
      <c r="J4" s="691">
        <v>1000</v>
      </c>
      <c r="M4" s="691" t="s">
        <v>355</v>
      </c>
    </row>
    <row r="5" spans="2:14">
      <c r="B5" s="691">
        <f>IF(Calc!U143&lt;$J$4,Calc!U143,"")</f>
        <v>0</v>
      </c>
      <c r="C5" s="694">
        <f ca="1">IF(Calc!AB143&lt;0,0,IF(Calc!AB143&lt;=$J$6,Calc!AB143,$J$6))</f>
        <v>303</v>
      </c>
      <c r="D5" s="691">
        <f>IF(Calc!AE86&lt;J3,Calc!AE143,"")</f>
        <v>0</v>
      </c>
      <c r="E5" s="694">
        <f ca="1">IF(Calc!AL143&lt;0,0,IF(Calc!AL143&lt;=$J$6,Calc!AL143,$J$6))</f>
        <v>895</v>
      </c>
      <c r="M5" s="691" t="s">
        <v>1859</v>
      </c>
      <c r="N5" s="691" t="s">
        <v>1860</v>
      </c>
    </row>
    <row r="6" spans="2:14">
      <c r="B6" s="695">
        <f ca="1">IF(Calc!U144&lt;$J$4,Calc!U144,IF(B5&gt;$J$4,B5,B5))</f>
        <v>26.666666666666664</v>
      </c>
      <c r="C6" s="694">
        <f ca="1">IF(Calc!AB144&lt;0,0,IF(Calc!AB144&lt;=$J$6,Calc!AB144,$J$6))</f>
        <v>296</v>
      </c>
      <c r="D6" s="695">
        <f ca="1">IF(Calc!AE144&lt;$J$3,Calc!AE144,IF(D5&gt;$J$3,D5,D5))</f>
        <v>10.666666666666666</v>
      </c>
      <c r="E6" s="694">
        <f ca="1">IF(Calc!AL144&lt;0,0,IF(Calc!AL144&lt;=$J$6,Calc!AL144,$J$6))</f>
        <v>887</v>
      </c>
      <c r="I6" s="692" t="s">
        <v>1883</v>
      </c>
      <c r="J6" s="691">
        <v>3200</v>
      </c>
      <c r="K6" s="692" t="s">
        <v>6</v>
      </c>
    </row>
    <row r="7" spans="2:14">
      <c r="B7" s="695">
        <f ca="1">IF(Calc!U145&lt;$J$4,Calc!U145,IF(B6&gt;$J$4,B6,B6))</f>
        <v>53.333333333333329</v>
      </c>
      <c r="C7" s="694">
        <f ca="1">IF(Calc!AB145&lt;0,0,IF(Calc!AB145&lt;=$J$6,Calc!AB145,$J$6))</f>
        <v>290</v>
      </c>
      <c r="D7" s="695">
        <f ca="1">IF(Calc!AE145&lt;$J$3,Calc!AE145,IF(D6&gt;$J$3,D6,D6))</f>
        <v>21.333333333333332</v>
      </c>
      <c r="E7" s="694">
        <f ca="1">IF(Calc!AL145&lt;0,0,IF(Calc!AL145&lt;=$J$6,Calc!AL145,$J$6))</f>
        <v>879</v>
      </c>
    </row>
    <row r="8" spans="2:14">
      <c r="B8" s="695">
        <f ca="1">IF(Calc!U146&lt;$J$4,Calc!U146,IF(B7&gt;$J$4,B7,B7))</f>
        <v>80</v>
      </c>
      <c r="C8" s="694">
        <f ca="1">IF(Calc!AB146&lt;0,0,IF(Calc!AB146&lt;=$J$6,Calc!AB146,$J$6))</f>
        <v>284</v>
      </c>
      <c r="D8" s="695">
        <f ca="1">IF(Calc!AE146&lt;$J$3,Calc!AE146,IF(D7&gt;$J$3,D7,D7))</f>
        <v>32</v>
      </c>
      <c r="E8" s="694">
        <f ca="1">IF(Calc!AL146&lt;0,0,IF(Calc!AL146&lt;=$J$6,Calc!AL146,$J$6))</f>
        <v>871</v>
      </c>
    </row>
    <row r="9" spans="2:14">
      <c r="B9" s="695">
        <f ca="1">IF(Calc!U147&lt;$J$4,Calc!U147,IF(B8&gt;$J$4,B8,B8))</f>
        <v>106.66666666666666</v>
      </c>
      <c r="C9" s="694">
        <f ca="1">IF(Calc!AB147&lt;0,0,IF(Calc!AB147&lt;=$J$6,Calc!AB147,$J$6))</f>
        <v>278</v>
      </c>
      <c r="D9" s="695">
        <f ca="1">IF(Calc!AE147&lt;$J$3,Calc!AE147,IF(D8&gt;$J$3,D8,D8))</f>
        <v>42.666666666666664</v>
      </c>
      <c r="E9" s="694">
        <f ca="1">IF(Calc!AL147&lt;0,0,IF(Calc!AL147&lt;=$J$6,Calc!AL147,$J$6))</f>
        <v>862</v>
      </c>
    </row>
    <row r="10" spans="2:14">
      <c r="B10" s="695">
        <f ca="1">IF(Calc!U148&lt;$J$4,Calc!U148,IF(B9&gt;$J$4,B9,B9))</f>
        <v>133.33333333333334</v>
      </c>
      <c r="C10" s="694">
        <f ca="1">IF(Calc!AB148&lt;0,0,IF(Calc!AB148&lt;=$J$6,Calc!AB148,$J$6))</f>
        <v>271</v>
      </c>
      <c r="D10" s="695">
        <f ca="1">IF(Calc!AE148&lt;$J$3,Calc!AE148,IF(D9&gt;$J$3,D9,D9))</f>
        <v>53.333333333333336</v>
      </c>
      <c r="E10" s="694">
        <f ca="1">IF(Calc!AL148&lt;0,0,IF(Calc!AL148&lt;=$J$6,Calc!AL148,$J$6))</f>
        <v>854</v>
      </c>
    </row>
    <row r="11" spans="2:14">
      <c r="B11" s="695">
        <f ca="1">IF(Calc!U149&lt;$J$4,Calc!U149,IF(B10&gt;$J$4,B10,B10))</f>
        <v>160</v>
      </c>
      <c r="C11" s="694">
        <f ca="1">IF(Calc!AB149&lt;0,0,IF(Calc!AB149&lt;=$J$6,Calc!AB149,$J$6))</f>
        <v>265</v>
      </c>
      <c r="D11" s="695">
        <f ca="1">IF(Calc!AE149&lt;$J$3,Calc!AE149,IF(D10&gt;$J$3,D10,D10))</f>
        <v>64</v>
      </c>
      <c r="E11" s="694">
        <f ca="1">IF(Calc!AL149&lt;0,0,IF(Calc!AL149&lt;=$J$6,Calc!AL149,$J$6))</f>
        <v>846</v>
      </c>
    </row>
    <row r="12" spans="2:14">
      <c r="B12" s="695">
        <f ca="1">IF(Calc!U150&lt;$J$4,Calc!U150,IF(B11&gt;$J$4,B11,B11))</f>
        <v>186.66666666666669</v>
      </c>
      <c r="C12" s="694">
        <f ca="1">IF(Calc!AB150&lt;0,0,IF(Calc!AB150&lt;=$J$6,Calc!AB150,$J$6))</f>
        <v>259</v>
      </c>
      <c r="D12" s="695">
        <f ca="1">IF(Calc!AE150&lt;$J$3,Calc!AE150,IF(D11&gt;$J$3,D11,D11))</f>
        <v>74.666666666666671</v>
      </c>
      <c r="E12" s="694">
        <f ca="1">IF(Calc!AL150&lt;0,0,IF(Calc!AL150&lt;=$J$6,Calc!AL150,$J$6))</f>
        <v>838</v>
      </c>
    </row>
    <row r="13" spans="2:14">
      <c r="B13" s="695">
        <f ca="1">IF(Calc!U151&lt;$J$4,Calc!U151,IF(B12&gt;$J$4,B12,B12))</f>
        <v>213.33333333333331</v>
      </c>
      <c r="C13" s="694">
        <f ca="1">IF(Calc!AB151&lt;0,0,IF(Calc!AB151&lt;=$J$6,Calc!AB151,$J$6))</f>
        <v>253</v>
      </c>
      <c r="D13" s="695">
        <f ca="1">IF(Calc!AE151&lt;$J$3,Calc!AE151,IF(D12&gt;$J$3,D12,D12))</f>
        <v>85.333333333333329</v>
      </c>
      <c r="E13" s="694">
        <f ca="1">IF(Calc!AL151&lt;0,0,IF(Calc!AL151&lt;=$J$6,Calc!AL151,$J$6))</f>
        <v>830</v>
      </c>
    </row>
    <row r="14" spans="2:14">
      <c r="B14" s="695">
        <f ca="1">IF(Calc!U152&lt;$J$4,Calc!U152,IF(B13&gt;$J$4,B13,B13))</f>
        <v>240</v>
      </c>
      <c r="C14" s="694">
        <f ca="1">IF(Calc!AB152&lt;0,0,IF(Calc!AB152&lt;=$J$6,Calc!AB152,$J$6))</f>
        <v>247</v>
      </c>
      <c r="D14" s="695">
        <f ca="1">IF(Calc!AE152&lt;$J$3,Calc!AE152,IF(D13&gt;$J$3,D13,D13))</f>
        <v>96</v>
      </c>
      <c r="E14" s="694">
        <f ca="1">IF(Calc!AL152&lt;0,0,IF(Calc!AL152&lt;=$J$6,Calc!AL152,$J$6))</f>
        <v>823</v>
      </c>
    </row>
    <row r="15" spans="2:14">
      <c r="B15" s="695">
        <f ca="1">IF(Calc!U153&lt;$J$4,Calc!U153,IF(B14&gt;$J$4,B14,B14))</f>
        <v>266.66666666666669</v>
      </c>
      <c r="C15" s="694">
        <f ca="1">IF(Calc!AB153&lt;0,0,IF(Calc!AB153&lt;=$J$6,Calc!AB153,$J$6))</f>
        <v>241</v>
      </c>
      <c r="D15" s="695">
        <f ca="1">IF(Calc!AE153&lt;$J$3,Calc!AE153,IF(D14&gt;$J$3,D14,D14))</f>
        <v>106.66666666666667</v>
      </c>
      <c r="E15" s="694">
        <f ca="1">IF(Calc!AL153&lt;0,0,IF(Calc!AL153&lt;=$J$6,Calc!AL153,$J$6))</f>
        <v>815</v>
      </c>
    </row>
    <row r="16" spans="2:14">
      <c r="B16" s="695">
        <f ca="1">IF(Calc!U154&lt;$J$4,Calc!U154,IF(B15&gt;$J$4,B15,B15))</f>
        <v>293.33333333333331</v>
      </c>
      <c r="C16" s="694">
        <f ca="1">IF(Calc!AB154&lt;0,0,IF(Calc!AB154&lt;=$J$6,Calc!AB154,$J$6))</f>
        <v>235</v>
      </c>
      <c r="D16" s="695">
        <f ca="1">IF(Calc!AE154&lt;$J$3,Calc!AE154,IF(D15&gt;$J$3,D15,D15))</f>
        <v>117.33333333333333</v>
      </c>
      <c r="E16" s="694">
        <f ca="1">IF(Calc!AL154&lt;0,0,IF(Calc!AL154&lt;=$J$6,Calc!AL154,$J$6))</f>
        <v>808</v>
      </c>
    </row>
    <row r="17" spans="2:5">
      <c r="B17" s="695">
        <f ca="1">IF(Calc!U155&lt;$J$4,Calc!U155,IF(B16&gt;$J$4,B16,B16))</f>
        <v>320</v>
      </c>
      <c r="C17" s="694">
        <f ca="1">IF(Calc!AB155&lt;0,0,IF(Calc!AB155&lt;=$J$6,Calc!AB155,$J$6))</f>
        <v>229</v>
      </c>
      <c r="D17" s="695">
        <f ca="1">IF(Calc!AE155&lt;$J$3,Calc!AE155,IF(D16&gt;$J$3,D16,D16))</f>
        <v>128</v>
      </c>
      <c r="E17" s="694">
        <f ca="1">IF(Calc!AL155&lt;0,0,IF(Calc!AL155&lt;=$J$6,Calc!AL155,$J$6))</f>
        <v>800</v>
      </c>
    </row>
    <row r="18" spans="2:5">
      <c r="B18" s="695">
        <f ca="1">IF(Calc!U156&lt;$J$4,Calc!U156,IF(B17&gt;$J$4,B17,B17))</f>
        <v>346.66666666666663</v>
      </c>
      <c r="C18" s="694">
        <f ca="1">IF(Calc!AB156&lt;0,0,IF(Calc!AB156&lt;=$J$6,Calc!AB156,$J$6))</f>
        <v>223</v>
      </c>
      <c r="D18" s="695">
        <f ca="1">IF(Calc!AE156&lt;$J$3,Calc!AE156,IF(D17&gt;$J$3,D17,D17))</f>
        <v>138.66666666666666</v>
      </c>
      <c r="E18" s="694">
        <f ca="1">IF(Calc!AL156&lt;0,0,IF(Calc!AL156&lt;=$J$6,Calc!AL156,$J$6))</f>
        <v>793</v>
      </c>
    </row>
    <row r="19" spans="2:5">
      <c r="B19" s="695">
        <f ca="1">IF(Calc!U157&lt;$J$4,Calc!U157,IF(B18&gt;$J$4,B18,B18))</f>
        <v>373.33333333333337</v>
      </c>
      <c r="C19" s="694">
        <f ca="1">IF(Calc!AB157&lt;0,0,IF(Calc!AB157&lt;=$J$6,Calc!AB157,$J$6))</f>
        <v>217</v>
      </c>
      <c r="D19" s="695">
        <f ca="1">IF(Calc!AE157&lt;$J$3,Calc!AE157,IF(D18&gt;$J$3,D18,D18))</f>
        <v>149.33333333333334</v>
      </c>
      <c r="E19" s="694">
        <f ca="1">IF(Calc!AL157&lt;0,0,IF(Calc!AL157&lt;=$J$6,Calc!AL157,$J$6))</f>
        <v>785</v>
      </c>
    </row>
    <row r="20" spans="2:5">
      <c r="B20" s="695">
        <f ca="1">IF(Calc!U158&lt;$J$4,Calc!U158,IF(B19&gt;$J$4,B19,B19))</f>
        <v>400</v>
      </c>
      <c r="C20" s="694">
        <f ca="1">IF(Calc!AB158&lt;0,0,IF(Calc!AB158&lt;=$J$6,Calc!AB158,$J$6))</f>
        <v>211</v>
      </c>
      <c r="D20" s="695">
        <f ca="1">IF(Calc!AE158&lt;$J$3,Calc!AE158,IF(D19&gt;$J$3,D19,D19))</f>
        <v>160</v>
      </c>
      <c r="E20" s="694">
        <f ca="1">IF(Calc!AL158&lt;0,0,IF(Calc!AL158&lt;=$J$6,Calc!AL158,$J$6))</f>
        <v>777</v>
      </c>
    </row>
    <row r="21" spans="2:5">
      <c r="B21" s="695">
        <f ca="1">IF(Calc!U159&lt;$J$4,Calc!U159,IF(B20&gt;$J$4,B20,B20))</f>
        <v>426.66666666666663</v>
      </c>
      <c r="C21" s="694">
        <f ca="1">IF(Calc!AB159&lt;0,0,IF(Calc!AB159&lt;=$J$6,Calc!AB159,$J$6))</f>
        <v>205</v>
      </c>
      <c r="D21" s="695">
        <f ca="1">IF(Calc!AE159&lt;$J$3,Calc!AE159,IF(D20&gt;$J$3,D20,D20))</f>
        <v>170.66666666666666</v>
      </c>
      <c r="E21" s="694">
        <f ca="1">IF(Calc!AL159&lt;0,0,IF(Calc!AL159&lt;=$J$6,Calc!AL159,$J$6))</f>
        <v>770</v>
      </c>
    </row>
    <row r="22" spans="2:5">
      <c r="B22" s="695">
        <f ca="1">IF(Calc!U160&lt;$J$4,Calc!U160,IF(B21&gt;$J$4,B21,B21))</f>
        <v>453.33333333333337</v>
      </c>
      <c r="C22" s="694">
        <f ca="1">IF(Calc!AB160&lt;0,0,IF(Calc!AB160&lt;=$J$6,Calc!AB160,$J$6))</f>
        <v>199</v>
      </c>
      <c r="D22" s="695">
        <f ca="1">IF(Calc!AE160&lt;$J$3,Calc!AE160,IF(D21&gt;$J$3,D21,D21))</f>
        <v>181.33333333333334</v>
      </c>
      <c r="E22" s="694">
        <f ca="1">IF(Calc!AL160&lt;0,0,IF(Calc!AL160&lt;=$J$6,Calc!AL160,$J$6))</f>
        <v>762</v>
      </c>
    </row>
    <row r="23" spans="2:5">
      <c r="B23" s="695">
        <f ca="1">IF(Calc!U161&lt;$J$4,Calc!U161,IF(B22&gt;$J$4,B22,B22))</f>
        <v>480</v>
      </c>
      <c r="C23" s="694">
        <f ca="1">IF(Calc!AB161&lt;0,0,IF(Calc!AB161&lt;=$J$6,Calc!AB161,$J$6))</f>
        <v>193</v>
      </c>
      <c r="D23" s="695">
        <f ca="1">IF(Calc!AE161&lt;$J$3,Calc!AE161,IF(D22&gt;$J$3,D22,D22))</f>
        <v>192</v>
      </c>
      <c r="E23" s="694">
        <f ca="1">IF(Calc!AL161&lt;0,0,IF(Calc!AL161&lt;=$J$6,Calc!AL161,$J$6))</f>
        <v>755</v>
      </c>
    </row>
    <row r="24" spans="2:5">
      <c r="B24" s="695">
        <f ca="1">IF(Calc!U162&lt;$J$4,Calc!U162,IF(B23&gt;$J$4,B23,B23))</f>
        <v>506.66666666666663</v>
      </c>
      <c r="C24" s="694">
        <f ca="1">IF(Calc!AB162&lt;0,0,IF(Calc!AB162&lt;=$J$6,Calc!AB162,$J$6))</f>
        <v>187</v>
      </c>
      <c r="D24" s="695">
        <f ca="1">IF(Calc!AE162&lt;$J$3,Calc!AE162,IF(D23&gt;$J$3,D23,D23))</f>
        <v>202.66666666666666</v>
      </c>
      <c r="E24" s="694">
        <f ca="1">IF(Calc!AL162&lt;0,0,IF(Calc!AL162&lt;=$J$6,Calc!AL162,$J$6))</f>
        <v>747</v>
      </c>
    </row>
    <row r="25" spans="2:5">
      <c r="B25" s="695">
        <f ca="1">IF(Calc!U163&lt;$J$4,Calc!U163,IF(B24&gt;$J$4,B24,B24))</f>
        <v>533.33333333333337</v>
      </c>
      <c r="C25" s="694">
        <f ca="1">IF(Calc!AB163&lt;0,0,IF(Calc!AB163&lt;=$J$6,Calc!AB163,$J$6))</f>
        <v>181</v>
      </c>
      <c r="D25" s="695">
        <f ca="1">IF(Calc!AE163&lt;$J$3,Calc!AE163,IF(D24&gt;$J$3,D24,D24))</f>
        <v>213.33333333333334</v>
      </c>
      <c r="E25" s="694">
        <f ca="1">IF(Calc!AL163&lt;0,0,IF(Calc!AL163&lt;=$J$6,Calc!AL163,$J$6))</f>
        <v>739</v>
      </c>
    </row>
    <row r="26" spans="2:5">
      <c r="B26" s="695">
        <f ca="1">IF(Calc!U164&lt;$J$4,Calc!U164,IF(B25&gt;$J$4,B25,B25))</f>
        <v>560</v>
      </c>
      <c r="C26" s="694">
        <f ca="1">IF(Calc!AB164&lt;0,0,IF(Calc!AB164&lt;=$J$6,Calc!AB164,$J$6))</f>
        <v>175</v>
      </c>
      <c r="D26" s="695">
        <f ca="1">IF(Calc!AE164&lt;$J$3,Calc!AE164,IF(D25&gt;$J$3,D25,D25))</f>
        <v>224</v>
      </c>
      <c r="E26" s="694">
        <f ca="1">IF(Calc!AL164&lt;0,0,IF(Calc!AL164&lt;=$J$6,Calc!AL164,$J$6))</f>
        <v>732</v>
      </c>
    </row>
    <row r="27" spans="2:5">
      <c r="B27" s="695">
        <f ca="1">IF(Calc!U165&lt;$J$4,Calc!U165,IF(B26&gt;$J$4,B26,B26))</f>
        <v>586.66666666666663</v>
      </c>
      <c r="C27" s="694">
        <f ca="1">IF(Calc!AB165&lt;0,0,IF(Calc!AB165&lt;=$J$6,Calc!AB165,$J$6))</f>
        <v>169</v>
      </c>
      <c r="D27" s="695">
        <f ca="1">IF(Calc!AE165&lt;$J$3,Calc!AE165,IF(D26&gt;$J$3,D26,D26))</f>
        <v>234.66666666666666</v>
      </c>
      <c r="E27" s="694">
        <f ca="1">IF(Calc!AL165&lt;0,0,IF(Calc!AL165&lt;=$J$6,Calc!AL165,$J$6))</f>
        <v>723</v>
      </c>
    </row>
    <row r="28" spans="2:5">
      <c r="B28" s="695">
        <f ca="1">IF(Calc!U166&lt;$J$4,Calc!U166,IF(B27&gt;$J$4,B27,B27))</f>
        <v>613.33333333333337</v>
      </c>
      <c r="C28" s="694">
        <f ca="1">IF(Calc!AB166&lt;0,0,IF(Calc!AB166&lt;=$J$6,Calc!AB166,$J$6))</f>
        <v>162</v>
      </c>
      <c r="D28" s="695">
        <f ca="1">IF(Calc!AE166&lt;$J$3,Calc!AE166,IF(D27&gt;$J$3,D27,D27))</f>
        <v>245.33333333333334</v>
      </c>
      <c r="E28" s="694">
        <f ca="1">IF(Calc!AL166&lt;0,0,IF(Calc!AL166&lt;=$J$6,Calc!AL166,$J$6))</f>
        <v>714</v>
      </c>
    </row>
    <row r="29" spans="2:5">
      <c r="B29" s="695">
        <f ca="1">IF(Calc!U167&lt;$J$4,Calc!U167,IF(B28&gt;$J$4,B28,B28))</f>
        <v>640</v>
      </c>
      <c r="C29" s="694">
        <f ca="1">IF(Calc!AB167&lt;0,0,IF(Calc!AB167&lt;=$J$6,Calc!AB167,$J$6))</f>
        <v>155</v>
      </c>
      <c r="D29" s="695">
        <f ca="1">IF(Calc!AE167&lt;$J$3,Calc!AE167,IF(D28&gt;$J$3,D28,D28))</f>
        <v>256</v>
      </c>
      <c r="E29" s="694">
        <f ca="1">IF(Calc!AL167&lt;0,0,IF(Calc!AL167&lt;=$J$6,Calc!AL167,$J$6))</f>
        <v>704</v>
      </c>
    </row>
    <row r="30" spans="2:5">
      <c r="B30" s="695">
        <f ca="1">IF(Calc!U168&lt;$J$4,Calc!U168,IF(B29&gt;$J$4,B29,B29))</f>
        <v>666.66666666666674</v>
      </c>
      <c r="C30" s="694">
        <f ca="1">IF(Calc!AB168&lt;0,0,IF(Calc!AB168&lt;=$J$6,Calc!AB168,$J$6))</f>
        <v>149</v>
      </c>
      <c r="D30" s="695">
        <f ca="1">IF(Calc!AE168&lt;$J$3,Calc!AE168,IF(D29&gt;$J$3,D29,D29))</f>
        <v>266.66666666666669</v>
      </c>
      <c r="E30" s="694">
        <f ca="1">IF(Calc!AL168&lt;0,0,IF(Calc!AL168&lt;=$J$6,Calc!AL168,$J$6))</f>
        <v>695</v>
      </c>
    </row>
    <row r="31" spans="2:5">
      <c r="B31" s="695">
        <f ca="1">IF(Calc!U169&lt;$J$4,Calc!U169,IF(B30&gt;$J$4,B30,B30))</f>
        <v>693.33333333333326</v>
      </c>
      <c r="C31" s="694">
        <f ca="1">IF(Calc!AB169&lt;0,0,IF(Calc!AB169&lt;=$J$6,Calc!AB169,$J$6))</f>
        <v>142</v>
      </c>
      <c r="D31" s="695">
        <f ca="1">IF(Calc!AE169&lt;$J$3,Calc!AE169,IF(D30&gt;$J$3,D30,D30))</f>
        <v>277.33333333333331</v>
      </c>
      <c r="E31" s="694">
        <f ca="1">IF(Calc!AL169&lt;0,0,IF(Calc!AL169&lt;=$J$6,Calc!AL169,$J$6))</f>
        <v>686</v>
      </c>
    </row>
    <row r="32" spans="2:5">
      <c r="B32" s="695">
        <f ca="1">IF(Calc!U170&lt;$J$4,Calc!U170,IF(B31&gt;$J$4,B31,B31))</f>
        <v>720</v>
      </c>
      <c r="C32" s="694">
        <f ca="1">IF(Calc!AB170&lt;0,0,IF(Calc!AB170&lt;=$J$6,Calc!AB170,$J$6))</f>
        <v>136</v>
      </c>
      <c r="D32" s="695">
        <f ca="1">IF(Calc!AE170&lt;$J$3,Calc!AE170,IF(D31&gt;$J$3,D31,D31))</f>
        <v>288</v>
      </c>
      <c r="E32" s="694">
        <f ca="1">IF(Calc!AL170&lt;0,0,IF(Calc!AL170&lt;=$J$6,Calc!AL170,$J$6))</f>
        <v>677</v>
      </c>
    </row>
    <row r="33" spans="2:5">
      <c r="B33" s="695">
        <f ca="1">IF(Calc!U171&lt;$J$4,Calc!U171,IF(B32&gt;$J$4,B32,B32))</f>
        <v>746.66666666666674</v>
      </c>
      <c r="C33" s="694">
        <f ca="1">IF(Calc!AB171&lt;0,0,IF(Calc!AB171&lt;=$J$6,Calc!AB171,$J$6))</f>
        <v>129</v>
      </c>
      <c r="D33" s="695">
        <f ca="1">IF(Calc!AE171&lt;$J$3,Calc!AE171,IF(D32&gt;$J$3,D32,D32))</f>
        <v>298.66666666666669</v>
      </c>
      <c r="E33" s="694">
        <f ca="1">IF(Calc!AL171&lt;0,0,IF(Calc!AL171&lt;=$J$6,Calc!AL171,$J$6))</f>
        <v>668</v>
      </c>
    </row>
    <row r="34" spans="2:5">
      <c r="B34" s="695">
        <f ca="1">IF(Calc!U172&lt;$J$4,Calc!U172,IF(B33&gt;$J$4,B33,B33))</f>
        <v>773.33333333333326</v>
      </c>
      <c r="C34" s="694">
        <f ca="1">IF(Calc!AB172&lt;0,0,IF(Calc!AB172&lt;=$J$6,Calc!AB172,$J$6))</f>
        <v>122</v>
      </c>
      <c r="D34" s="695">
        <f ca="1">IF(Calc!AE172&lt;$J$3,Calc!AE172,IF(D33&gt;$J$3,D33,D33))</f>
        <v>309.33333333333331</v>
      </c>
      <c r="E34" s="694">
        <f ca="1">IF(Calc!AL172&lt;0,0,IF(Calc!AL172&lt;=$J$6,Calc!AL172,$J$6))</f>
        <v>659</v>
      </c>
    </row>
    <row r="35" spans="2:5">
      <c r="B35" s="695">
        <f ca="1">IF(Calc!U173&lt;$J$4,Calc!U173,IF(B34&gt;$J$4,B34,B34))</f>
        <v>800</v>
      </c>
      <c r="C35" s="694">
        <f ca="1">IF(Calc!AB173&lt;0,0,IF(Calc!AB173&lt;=$J$6,Calc!AB173,$J$6))</f>
        <v>116</v>
      </c>
      <c r="D35" s="695">
        <f ca="1">IF(Calc!AE173&lt;$J$3,Calc!AE173,IF(D34&gt;$J$3,D34,D34))</f>
        <v>320</v>
      </c>
      <c r="E35" s="694">
        <f ca="1">IF(Calc!AL173&lt;0,0,IF(Calc!AL173&lt;=$J$6,Calc!AL173,$J$6))</f>
        <v>650</v>
      </c>
    </row>
    <row r="36" spans="2:5">
      <c r="B36" s="695">
        <f ca="1">IF(Calc!U174&lt;$J$4,Calc!U174,IF(B35&gt;$J$4,B35,B35))</f>
        <v>826.66666666666674</v>
      </c>
      <c r="C36" s="694">
        <f ca="1">IF(Calc!AB174&lt;0,0,IF(Calc!AB174&lt;=$J$6,Calc!AB174,$J$6))</f>
        <v>109</v>
      </c>
      <c r="D36" s="695">
        <f ca="1">IF(Calc!AE174&lt;$J$3,Calc!AE174,IF(D35&gt;$J$3,D35,D35))</f>
        <v>330.66666666666669</v>
      </c>
      <c r="E36" s="694">
        <f ca="1">IF(Calc!AL174&lt;0,0,IF(Calc!AL174&lt;=$J$6,Calc!AL174,$J$6))</f>
        <v>641</v>
      </c>
    </row>
    <row r="37" spans="2:5">
      <c r="B37" s="695">
        <f ca="1">IF(Calc!U175&lt;$J$4,Calc!U175,IF(B36&gt;$J$4,B36,B36))</f>
        <v>853.33333333333326</v>
      </c>
      <c r="C37" s="694">
        <f ca="1">IF(Calc!AB175&lt;0,0,IF(Calc!AB175&lt;=$J$6,Calc!AB175,$J$6))</f>
        <v>103</v>
      </c>
      <c r="D37" s="695">
        <f ca="1">IF(Calc!AE175&lt;$J$3,Calc!AE175,IF(D36&gt;$J$3,D36,D36))</f>
        <v>341.33333333333331</v>
      </c>
      <c r="E37" s="694">
        <f ca="1">IF(Calc!AL175&lt;0,0,IF(Calc!AL175&lt;=$J$6,Calc!AL175,$J$6))</f>
        <v>632</v>
      </c>
    </row>
    <row r="38" spans="2:5">
      <c r="B38" s="695">
        <f ca="1">IF(Calc!U176&lt;$J$4,Calc!U176,IF(B37&gt;$J$4,B37,B37))</f>
        <v>880</v>
      </c>
      <c r="C38" s="694">
        <f ca="1">IF(Calc!AB176&lt;0,0,IF(Calc!AB176&lt;=$J$6,Calc!AB176,$J$6))</f>
        <v>96</v>
      </c>
      <c r="D38" s="695">
        <f ca="1">IF(Calc!AE176&lt;$J$3,Calc!AE176,IF(D37&gt;$J$3,D37,D37))</f>
        <v>352</v>
      </c>
      <c r="E38" s="694">
        <f ca="1">IF(Calc!AL176&lt;0,0,IF(Calc!AL176&lt;=$J$6,Calc!AL176,$J$6))</f>
        <v>622</v>
      </c>
    </row>
    <row r="39" spans="2:5">
      <c r="B39" s="695">
        <f ca="1">IF(Calc!U177&lt;$J$4,Calc!U177,IF(B38&gt;$J$4,B38,B38))</f>
        <v>906.66666666666674</v>
      </c>
      <c r="C39" s="694">
        <f ca="1">IF(Calc!AB177&lt;0,0,IF(Calc!AB177&lt;=$J$6,Calc!AB177,$J$6))</f>
        <v>89</v>
      </c>
      <c r="D39" s="695">
        <f ca="1">IF(Calc!AE177&lt;$J$3,Calc!AE177,IF(D38&gt;$J$3,D38,D38))</f>
        <v>362.66666666666669</v>
      </c>
      <c r="E39" s="694">
        <f ca="1">IF(Calc!AL177&lt;0,0,IF(Calc!AL177&lt;=$J$6,Calc!AL177,$J$6))</f>
        <v>613</v>
      </c>
    </row>
    <row r="40" spans="2:5">
      <c r="B40" s="695">
        <f ca="1">IF(Calc!U178&lt;$J$4,Calc!U178,IF(B39&gt;$J$4,B39,B39))</f>
        <v>933.33333333333326</v>
      </c>
      <c r="C40" s="694">
        <f ca="1">IF(Calc!AB178&lt;0,0,IF(Calc!AB178&lt;=$J$6,Calc!AB178,$J$6))</f>
        <v>83</v>
      </c>
      <c r="D40" s="695">
        <f ca="1">IF(Calc!AE178&lt;$J$3,Calc!AE178,IF(D39&gt;$J$3,D39,D39))</f>
        <v>373.33333333333331</v>
      </c>
      <c r="E40" s="694">
        <f ca="1">IF(Calc!AL178&lt;0,0,IF(Calc!AL178&lt;=$J$6,Calc!AL178,$J$6))</f>
        <v>604</v>
      </c>
    </row>
    <row r="41" spans="2:5">
      <c r="B41" s="695">
        <f ca="1">IF(Calc!U179&lt;$J$4,Calc!U179,IF(B40&gt;$J$4,B40,B40))</f>
        <v>960</v>
      </c>
      <c r="C41" s="694">
        <f ca="1">IF(Calc!AB179&lt;0,0,IF(Calc!AB179&lt;=$J$6,Calc!AB179,$J$6))</f>
        <v>76</v>
      </c>
      <c r="D41" s="695">
        <f ca="1">IF(Calc!AE179&lt;$J$3,Calc!AE179,IF(D40&gt;$J$3,D40,D40))</f>
        <v>384</v>
      </c>
      <c r="E41" s="694">
        <f ca="1">IF(Calc!AL179&lt;0,0,IF(Calc!AL179&lt;=$J$6,Calc!AL179,$J$6))</f>
        <v>595</v>
      </c>
    </row>
    <row r="42" spans="2:5">
      <c r="B42" s="695">
        <f ca="1">IF(Calc!U180&lt;$J$4,Calc!U180,IF(B41&gt;$J$4,B41,B41))</f>
        <v>986.66666666666674</v>
      </c>
      <c r="C42" s="694">
        <f ca="1">IF(Calc!AB180&lt;0,0,IF(Calc!AB180&lt;=$J$6,Calc!AB180,$J$6))</f>
        <v>70</v>
      </c>
      <c r="D42" s="695">
        <f ca="1">IF(Calc!AE180&lt;$J$3,Calc!AE180,IF(D41&gt;$J$3,D41,D41))</f>
        <v>394.66666666666669</v>
      </c>
      <c r="E42" s="694">
        <f ca="1">IF(Calc!AL180&lt;0,0,IF(Calc!AL180&lt;=$J$6,Calc!AL180,$J$6))</f>
        <v>586</v>
      </c>
    </row>
    <row r="43" spans="2:5">
      <c r="B43" s="695">
        <f ca="1">IF(Calc!U181&lt;$J$4,Calc!U181,IF(B42&gt;$J$4,B42,B42))</f>
        <v>986.66666666666674</v>
      </c>
      <c r="C43" s="694">
        <f ca="1">IF(Calc!AB181&lt;0,0,IF(Calc!AB181&lt;=$J$6,Calc!AB181,$J$6))</f>
        <v>63</v>
      </c>
      <c r="D43" s="695">
        <f ca="1">IF(Calc!AE181&lt;$J$3,Calc!AE181,IF(D42&gt;$J$3,D42,D42))</f>
        <v>394.66666666666669</v>
      </c>
      <c r="E43" s="694">
        <f ca="1">IF(Calc!AL181&lt;0,0,IF(Calc!AL181&lt;=$J$6,Calc!AL181,$J$6))</f>
        <v>577</v>
      </c>
    </row>
    <row r="44" spans="2:5">
      <c r="B44" s="695">
        <f ca="1">IF(Calc!U182&lt;$J$4,Calc!U182,IF(B43&gt;$J$4,B43,B43))</f>
        <v>986.66666666666674</v>
      </c>
      <c r="C44" s="694">
        <f ca="1">IF(Calc!AB182&lt;0,0,IF(Calc!AB182&lt;=$J$6,Calc!AB182,$J$6))</f>
        <v>57</v>
      </c>
      <c r="D44" s="695">
        <f ca="1">IF(Calc!AE182&lt;$J$3,Calc!AE182,IF(D43&gt;$J$3,D43,D43))</f>
        <v>394.66666666666669</v>
      </c>
      <c r="E44" s="694">
        <f ca="1">IF(Calc!AL182&lt;0,0,IF(Calc!AL182&lt;=$J$6,Calc!AL182,$J$6))</f>
        <v>568</v>
      </c>
    </row>
    <row r="45" spans="2:5">
      <c r="B45" s="695">
        <f ca="1">IF(Calc!U183&lt;$J$4,Calc!U183,IF(B44&gt;$J$4,B44,B44))</f>
        <v>986.66666666666674</v>
      </c>
      <c r="C45" s="694">
        <f ca="1">IF(Calc!AB183&lt;0,0,IF(Calc!AB183&lt;=$J$6,Calc!AB183,$J$6))</f>
        <v>50</v>
      </c>
      <c r="D45" s="695">
        <f ca="1">IF(Calc!AE183&lt;$J$3,Calc!AE183,IF(D44&gt;$J$3,D44,D44))</f>
        <v>394.66666666666669</v>
      </c>
      <c r="E45" s="694">
        <f ca="1">IF(Calc!AL183&lt;0,0,IF(Calc!AL183&lt;=$J$6,Calc!AL183,$J$6))</f>
        <v>559</v>
      </c>
    </row>
    <row r="46" spans="2:5">
      <c r="B46" s="695">
        <f ca="1">IF(Calc!U184&lt;$J$4,Calc!U184,IF(B45&gt;$J$4,B45,B45))</f>
        <v>986.66666666666674</v>
      </c>
      <c r="C46" s="694">
        <f ca="1">IF(Calc!AB184&lt;0,0,IF(Calc!AB184&lt;=$J$6,Calc!AB184,$J$6))</f>
        <v>43</v>
      </c>
      <c r="D46" s="695">
        <f ca="1">IF(Calc!AE184&lt;$J$3,Calc!AE184,IF(D45&gt;$J$3,D45,D45))</f>
        <v>394.66666666666669</v>
      </c>
      <c r="E46" s="694">
        <f ca="1">IF(Calc!AL184&lt;0,0,IF(Calc!AL184&lt;=$J$6,Calc!AL184,$J$6))</f>
        <v>550</v>
      </c>
    </row>
    <row r="47" spans="2:5">
      <c r="B47" s="695">
        <f ca="1">IF(Calc!U185&lt;$J$4,Calc!U185,IF(B46&gt;$J$4,B46,B46))</f>
        <v>986.66666666666674</v>
      </c>
      <c r="C47" s="694">
        <f ca="1">IF(Calc!AB185&lt;0,0,IF(Calc!AB185&lt;=$J$6,Calc!AB185,$J$6))</f>
        <v>37</v>
      </c>
      <c r="D47" s="695">
        <f ca="1">IF(Calc!AE185&lt;$J$3,Calc!AE185,IF(D46&gt;$J$3,D46,D46))</f>
        <v>394.66666666666669</v>
      </c>
      <c r="E47" s="694">
        <f ca="1">IF(Calc!AL185&lt;0,0,IF(Calc!AL185&lt;=$J$6,Calc!AL185,$J$6))</f>
        <v>540</v>
      </c>
    </row>
    <row r="48" spans="2:5">
      <c r="B48" s="695">
        <f ca="1">IF(Calc!U186&lt;$J$4,Calc!U186,IF(B47&gt;$J$4,B47,B47))</f>
        <v>986.66666666666674</v>
      </c>
      <c r="C48" s="694">
        <f ca="1">IF(Calc!AB186&lt;0,0,IF(Calc!AB186&lt;=$J$6,Calc!AB186,$J$6))</f>
        <v>30</v>
      </c>
      <c r="D48" s="695">
        <f ca="1">IF(Calc!AE186&lt;$J$3,Calc!AE186,IF(D47&gt;$J$3,D47,D47))</f>
        <v>394.66666666666669</v>
      </c>
      <c r="E48" s="694">
        <f ca="1">IF(Calc!AL186&lt;0,0,IF(Calc!AL186&lt;=$J$6,Calc!AL186,$J$6))</f>
        <v>531</v>
      </c>
    </row>
    <row r="49" spans="2:19">
      <c r="B49" s="695">
        <f ca="1">IF(Calc!U187&lt;$J$4,Calc!U187,IF(B48&gt;$J$4,B48,B48))</f>
        <v>986.66666666666674</v>
      </c>
      <c r="C49" s="694">
        <f ca="1">IF(Calc!AB187&lt;0,0,IF(Calc!AB187&lt;=$J$6,Calc!AB187,$J$6))</f>
        <v>24</v>
      </c>
      <c r="D49" s="695">
        <f ca="1">IF(Calc!AE187&lt;$J$3,Calc!AE187,IF(D48&gt;$J$3,D48,D48))</f>
        <v>394.66666666666669</v>
      </c>
      <c r="E49" s="694">
        <f ca="1">IF(Calc!AL187&lt;0,0,IF(Calc!AL187&lt;=$J$6,Calc!AL187,$J$6))</f>
        <v>522</v>
      </c>
    </row>
    <row r="50" spans="2:19">
      <c r="B50" s="695">
        <f ca="1">IF(Calc!U188&lt;$J$4,Calc!U188,IF(B49&gt;$J$4,B49,B49))</f>
        <v>986.66666666666674</v>
      </c>
      <c r="C50" s="694">
        <f ca="1">IF(Calc!AB188&lt;0,0,IF(Calc!AB188&lt;=$J$6,Calc!AB188,$J$6))</f>
        <v>17</v>
      </c>
      <c r="D50" s="695">
        <f ca="1">IF(Calc!AE188&lt;$J$3,Calc!AE188,IF(D49&gt;$J$3,D49,D49))</f>
        <v>394.66666666666669</v>
      </c>
      <c r="E50" s="694">
        <f ca="1">IF(Calc!AL188&lt;0,0,IF(Calc!AL188&lt;=$J$6,Calc!AL188,$J$6))</f>
        <v>513</v>
      </c>
    </row>
    <row r="51" spans="2:19">
      <c r="B51" s="695">
        <f ca="1">IF(Calc!U189&lt;$J$4,Calc!U189,IF(B50&gt;$J$4,B50,B50))</f>
        <v>986.66666666666674</v>
      </c>
      <c r="C51" s="694">
        <f ca="1">IF(Calc!AB189&lt;0,0,IF(Calc!AB189&lt;=$J$6,Calc!AB189,$J$6))</f>
        <v>10</v>
      </c>
      <c r="D51" s="695">
        <f ca="1">IF(Calc!AE189&lt;$J$3,Calc!AE189,IF(D50&gt;$J$3,D50,D50))</f>
        <v>394.66666666666669</v>
      </c>
      <c r="E51" s="694">
        <f ca="1">IF(Calc!AL189&lt;0,0,IF(Calc!AL189&lt;=$J$6,Calc!AL189,$J$6))</f>
        <v>504</v>
      </c>
    </row>
    <row r="52" spans="2:19">
      <c r="B52" s="695">
        <f ca="1">IF(Calc!U190&lt;$J$4,Calc!U190,IF(B51&gt;$J$4,B51,B51))</f>
        <v>986.66666666666674</v>
      </c>
      <c r="C52" s="694">
        <f ca="1">IF(Calc!AB190&lt;0,0,IF(Calc!AB190&lt;=$J$6,Calc!AB190,$J$6))</f>
        <v>4</v>
      </c>
      <c r="D52" s="695">
        <f ca="1">IF(Calc!AE190&lt;$J$3,Calc!AE190,IF(D51&gt;$J$3,D51,D51))</f>
        <v>394.66666666666669</v>
      </c>
      <c r="E52" s="694">
        <f ca="1">IF(Calc!AL190&lt;0,0,IF(Calc!AL190&lt;=$J$6,Calc!AL190,$J$6))</f>
        <v>495</v>
      </c>
    </row>
    <row r="53" spans="2:19">
      <c r="B53" s="695">
        <f ca="1">IF(Calc!U191&lt;$J$4,Calc!U191,IF(B52&gt;$J$4,B52,B52))</f>
        <v>986.66666666666674</v>
      </c>
      <c r="C53" s="694">
        <f ca="1">IF(Calc!AB191&lt;0,0,IF(Calc!AB191&lt;=$J$6,Calc!AB191,$J$6))</f>
        <v>0</v>
      </c>
      <c r="D53" s="695">
        <f ca="1">IF(Calc!AE191&lt;$J$3,Calc!AE191,IF(D52&gt;$J$3,D52,D52))</f>
        <v>394.66666666666669</v>
      </c>
      <c r="E53" s="694">
        <f ca="1">IF(Calc!AL191&lt;0,0,IF(Calc!AL191&lt;=$J$6,Calc!AL191,$J$6))</f>
        <v>486</v>
      </c>
    </row>
    <row r="54" spans="2:19">
      <c r="B54" s="695">
        <f ca="1">IF(Calc!U192&lt;$J$4,Calc!U192,IF(B53&gt;$J$4,B53,B53))</f>
        <v>986.66666666666674</v>
      </c>
      <c r="C54" s="694">
        <f ca="1">IF(Calc!AB192&lt;0,0,IF(Calc!AB192&lt;=$J$6,Calc!AB192,$J$6))</f>
        <v>0</v>
      </c>
      <c r="D54" s="695">
        <f ca="1">IF(Calc!AE192&lt;$J$3,Calc!AE192,IF(D53&gt;$J$3,D53,D53))</f>
        <v>394.66666666666669</v>
      </c>
      <c r="E54" s="694">
        <f ca="1">IF(Calc!AL192&lt;0,0,IF(Calc!AL192&lt;=$J$6,Calc!AL192,$J$6))</f>
        <v>477</v>
      </c>
    </row>
    <row r="55" spans="2:19">
      <c r="B55" s="695">
        <f ca="1">IF(Calc!U193&lt;$J$4,Calc!U193,IF(B54&gt;$J$4,B54,B54))</f>
        <v>986.66666666666674</v>
      </c>
      <c r="C55" s="694">
        <f ca="1">IF(Calc!AB193&lt;0,0,IF(Calc!AB193&lt;=$J$6,Calc!AB193,$J$6))</f>
        <v>0</v>
      </c>
      <c r="D55" s="695">
        <f ca="1">IF(Calc!AE193&lt;$J$3,Calc!AE193,IF(D54&gt;$J$3,D54,D54))</f>
        <v>394.66666666666669</v>
      </c>
      <c r="E55" s="694">
        <f ca="1">IF(Calc!AL193&lt;0,0,IF(Calc!AL193&lt;=$J$6,Calc!AL193,$J$6))</f>
        <v>469</v>
      </c>
    </row>
    <row r="56" spans="2:19">
      <c r="B56" s="695">
        <f ca="1">IF(Calc!U194&lt;$J$4,Calc!U194,IF(B55&gt;$J$4,B55,B55))</f>
        <v>986.66666666666674</v>
      </c>
      <c r="C56" s="694">
        <f>IF(Calc!AB194&lt;0,0,IF(Calc!AB194&lt;=$J$6,Calc!AB194,$J$6))</f>
        <v>0</v>
      </c>
      <c r="D56" s="695">
        <f ca="1">IF(Calc!AE194&lt;$J$3,Calc!AE194,IF(D55&gt;$J$3,D55,D55))</f>
        <v>394.66666666666669</v>
      </c>
      <c r="E56" s="694">
        <f>IF(Calc!AL194&lt;0,0,IF(Calc!AL194&lt;=$J$6,Calc!AL194,$J$6))</f>
        <v>0</v>
      </c>
    </row>
    <row r="57" spans="2:19">
      <c r="K57" s="692" t="s">
        <v>1854</v>
      </c>
      <c r="P57" s="692" t="s">
        <v>1901</v>
      </c>
      <c r="Q57" s="692"/>
    </row>
    <row r="58" spans="2:19">
      <c r="B58" s="690" t="s">
        <v>1769</v>
      </c>
      <c r="C58" s="690"/>
      <c r="E58" s="691" t="s">
        <v>1858</v>
      </c>
      <c r="L58" s="1067" t="s">
        <v>1857</v>
      </c>
      <c r="M58" s="1068"/>
      <c r="N58" s="1069"/>
      <c r="O58" s="717"/>
      <c r="P58" s="717"/>
    </row>
    <row r="59" spans="2:19">
      <c r="E59" s="692" t="s">
        <v>372</v>
      </c>
      <c r="F59" s="691">
        <v>5.0999999999999996</v>
      </c>
      <c r="G59" s="691" t="s">
        <v>7</v>
      </c>
      <c r="K59" s="719" t="s">
        <v>1881</v>
      </c>
      <c r="M59" s="692" t="s">
        <v>1881</v>
      </c>
      <c r="O59" s="692"/>
    </row>
    <row r="60" spans="2:19">
      <c r="B60" s="690" t="s">
        <v>1831</v>
      </c>
      <c r="D60" s="690" t="s">
        <v>1832</v>
      </c>
      <c r="F60" s="692" t="s">
        <v>1850</v>
      </c>
      <c r="G60" s="690" t="s">
        <v>1880</v>
      </c>
      <c r="K60" s="720"/>
      <c r="L60" s="690" t="s">
        <v>1831</v>
      </c>
      <c r="M60" s="690"/>
      <c r="N60" s="690" t="s">
        <v>1832</v>
      </c>
      <c r="O60" s="690"/>
      <c r="P60" s="690" t="s">
        <v>1831</v>
      </c>
      <c r="Q60" s="690"/>
      <c r="R60" s="690" t="s">
        <v>1832</v>
      </c>
      <c r="S60" s="690"/>
    </row>
    <row r="61" spans="2:19">
      <c r="B61" s="691" t="s">
        <v>12</v>
      </c>
      <c r="C61" s="691" t="s">
        <v>1855</v>
      </c>
      <c r="D61" s="691" t="s">
        <v>12</v>
      </c>
      <c r="E61" s="691" t="s">
        <v>1855</v>
      </c>
      <c r="F61" s="692" t="s">
        <v>360</v>
      </c>
      <c r="G61" s="690" t="s">
        <v>1882</v>
      </c>
      <c r="K61" s="718">
        <v>0</v>
      </c>
      <c r="L61" s="691" t="s">
        <v>1855</v>
      </c>
      <c r="M61" s="692"/>
      <c r="N61" s="691" t="s">
        <v>1855</v>
      </c>
      <c r="O61" s="692"/>
      <c r="Q61" s="692"/>
      <c r="S61" s="692"/>
    </row>
    <row r="62" spans="2:19">
      <c r="B62" s="691">
        <f>IF(Calc!BH143&lt;$J$4,Calc!BH143,$J$4)</f>
        <v>0</v>
      </c>
      <c r="C62" s="691">
        <f ca="1">IF(Calc!BJ143&lt;0,0,IF(Calc!BJ143&lt;=$J$6,Calc!BJ143,$J$6))</f>
        <v>1158</v>
      </c>
      <c r="D62" s="691">
        <f>IF(Calc!BN143&lt;$J$3,Calc!BN143,$J$3)</f>
        <v>0</v>
      </c>
      <c r="E62" s="691">
        <f ca="1">IF(Calc!BP143&lt;0,0,IF(Calc!BP143&lt;=$J$6,Calc!BP143,$J$6))</f>
        <v>3033</v>
      </c>
      <c r="F62" s="696">
        <f ca="1">Calc!BL143</f>
        <v>2.7600000000000002</v>
      </c>
      <c r="G62" s="691">
        <f t="shared" ref="G62:G93" ca="1" si="0">IF(AND(F62&gt;$F$59,G61&lt;&gt;0),1,0)</f>
        <v>0</v>
      </c>
      <c r="K62" s="691">
        <f ca="1">IF(G62=1,MATCH($K$61,G62:$G$112,0),C62)</f>
        <v>1158</v>
      </c>
      <c r="L62" s="716">
        <f ca="1">IF(C62&lt;0,0,IF(K62&lt;&gt;C62,OFFSET(B61,K62,1,1,1),C62))</f>
        <v>1158</v>
      </c>
      <c r="M62" s="691">
        <f ca="1">IF(G62=1,MATCH($K$61,G62:$G$112,0),E62)</f>
        <v>3033</v>
      </c>
      <c r="N62" s="716">
        <f ca="1">IF(E62&lt;0,0,IF(M62&lt;&gt;E62,OFFSET(D61,M62,1,1,1),E62))</f>
        <v>3033</v>
      </c>
      <c r="O62" s="690"/>
      <c r="P62" s="690">
        <f ca="1">IF(C5&gt;L62,L62,C5)</f>
        <v>303</v>
      </c>
      <c r="Q62" s="692"/>
      <c r="R62" s="690">
        <f ca="1">IF(E5&gt;N62,N62,E5)</f>
        <v>895</v>
      </c>
      <c r="S62" s="692"/>
    </row>
    <row r="63" spans="2:19">
      <c r="B63" s="695">
        <f ca="1">IF(Calc!BH144&lt;$J$4,Calc!BH144,$J$4)</f>
        <v>858.06666666666661</v>
      </c>
      <c r="C63" s="691">
        <f ca="1">IF(Calc!BJ144&lt;0,0,IF(Calc!BJ144&lt;=$J$6,Calc!BJ144,$J$6))</f>
        <v>1002</v>
      </c>
      <c r="D63" s="695">
        <f ca="1">IF(Calc!BN144&lt;$J$3,Calc!BN144,$J$3)</f>
        <v>343.22666666666663</v>
      </c>
      <c r="E63" s="691">
        <f ca="1">IF(Calc!BP144&lt;0,0,IF(Calc!BP144&lt;=$J$6,Calc!BP144,$J$6))</f>
        <v>2882</v>
      </c>
      <c r="F63" s="696">
        <f ca="1">Calc!BL144</f>
        <v>2.7600000000000002</v>
      </c>
      <c r="G63" s="691">
        <f t="shared" ca="1" si="0"/>
        <v>0</v>
      </c>
      <c r="K63" s="691">
        <f ca="1">IF(G63=1,MATCH($K$61,G63:$G$112,0),C63)</f>
        <v>1002</v>
      </c>
      <c r="L63" s="716">
        <f t="shared" ref="L63:L112" ca="1" si="1">IF(C63&lt;0,0,IF(K63&lt;&gt;C63,OFFSET(B62,K63,1,1,1),C63))</f>
        <v>1002</v>
      </c>
      <c r="M63" s="691">
        <f ca="1">IF(G63=1,MATCH($K$61,G63:$G$112,0),E63)</f>
        <v>2882</v>
      </c>
      <c r="N63" s="716">
        <f t="shared" ref="N63:N112" ca="1" si="2">IF(E63&lt;0,0,IF(M63&lt;&gt;E63,OFFSET(D62,M63,1,1,1),E63))</f>
        <v>2882</v>
      </c>
      <c r="P63" s="690">
        <f t="shared" ref="P63:P113" ca="1" si="3">IF(C6&gt;L63,L63,C6)</f>
        <v>296</v>
      </c>
      <c r="Q63" s="692"/>
      <c r="R63" s="690">
        <f t="shared" ref="R63:R113" ca="1" si="4">IF(E6&gt;N63,N63,E6)</f>
        <v>887</v>
      </c>
      <c r="S63" s="692"/>
    </row>
    <row r="64" spans="2:19">
      <c r="B64" s="695">
        <f ca="1">IF(Calc!BH145&lt;$J$4,Calc!BH145,$J$4)</f>
        <v>870.8</v>
      </c>
      <c r="C64" s="691">
        <f ca="1">IF(Calc!BJ145&lt;0,0,IF(Calc!BJ145&lt;=$J$6,Calc!BJ145,$J$6))</f>
        <v>982</v>
      </c>
      <c r="D64" s="695">
        <f ca="1">IF(Calc!BN145&lt;$J$3,Calc!BN145,$J$3)</f>
        <v>348.32</v>
      </c>
      <c r="E64" s="691">
        <f ca="1">IF(Calc!BP145&lt;0,0,IF(Calc!BP145&lt;=$J$6,Calc!BP145,$J$6))</f>
        <v>2834</v>
      </c>
      <c r="F64" s="696">
        <f ca="1">Calc!BL145</f>
        <v>2.7194116923076921</v>
      </c>
      <c r="G64" s="691">
        <f t="shared" ca="1" si="0"/>
        <v>0</v>
      </c>
      <c r="K64" s="691">
        <f ca="1">IF(G64=1,MATCH($K$61,G64:$G$112,0),C64)</f>
        <v>982</v>
      </c>
      <c r="L64" s="716">
        <f t="shared" ca="1" si="1"/>
        <v>982</v>
      </c>
      <c r="M64" s="691">
        <f ca="1">IF(G64=1,MATCH($K$61,G64:$G$112,0),E64)</f>
        <v>2834</v>
      </c>
      <c r="N64" s="716">
        <f t="shared" ca="1" si="2"/>
        <v>2834</v>
      </c>
      <c r="P64" s="690">
        <f t="shared" ca="1" si="3"/>
        <v>290</v>
      </c>
      <c r="Q64" s="692"/>
      <c r="R64" s="690">
        <f t="shared" ca="1" si="4"/>
        <v>879</v>
      </c>
      <c r="S64" s="692"/>
    </row>
    <row r="65" spans="2:19">
      <c r="B65" s="695">
        <f ca="1">IF(Calc!BH146&lt;$J$4,Calc!BH146,$J$4)</f>
        <v>883.7833333333333</v>
      </c>
      <c r="C65" s="691">
        <f ca="1">IF(Calc!BJ146&lt;0,0,IF(Calc!BJ146&lt;=$J$6,Calc!BJ146,$J$6))</f>
        <v>961</v>
      </c>
      <c r="D65" s="695">
        <f ca="1">IF(Calc!BN146&lt;$J$3,Calc!BN146,$J$3)</f>
        <v>353.51333333333332</v>
      </c>
      <c r="E65" s="691">
        <f ca="1">IF(Calc!BP146&lt;0,0,IF(Calc!BP146&lt;=$J$6,Calc!BP146,$J$6))</f>
        <v>2785</v>
      </c>
      <c r="F65" s="696">
        <f ca="1">Calc!BL146</f>
        <v>2.6782269890109891</v>
      </c>
      <c r="G65" s="691">
        <f t="shared" ca="1" si="0"/>
        <v>0</v>
      </c>
      <c r="K65" s="691">
        <f ca="1">IF(G65=1,MATCH($K$61,G65:$G$112,0),C65)</f>
        <v>961</v>
      </c>
      <c r="L65" s="716">
        <f t="shared" ca="1" si="1"/>
        <v>961</v>
      </c>
      <c r="M65" s="691">
        <f ca="1">IF(G65=1,MATCH($K$61,G65:$G$112,0),E65)</f>
        <v>2785</v>
      </c>
      <c r="N65" s="716">
        <f t="shared" ca="1" si="2"/>
        <v>2785</v>
      </c>
      <c r="P65" s="690">
        <f t="shared" ca="1" si="3"/>
        <v>284</v>
      </c>
      <c r="Q65" s="692"/>
      <c r="R65" s="690">
        <f t="shared" ca="1" si="4"/>
        <v>871</v>
      </c>
      <c r="S65" s="692"/>
    </row>
    <row r="66" spans="2:19">
      <c r="B66" s="695">
        <f ca="1">IF(Calc!BH147&lt;$J$4,Calc!BH147,$J$4)</f>
        <v>897.01666666666665</v>
      </c>
      <c r="C66" s="691">
        <f ca="1">IF(Calc!BJ147&lt;0,0,IF(Calc!BJ147&lt;=$J$6,Calc!BJ147,$J$6))</f>
        <v>939</v>
      </c>
      <c r="D66" s="695">
        <f ca="1">IF(Calc!BN147&lt;$J$3,Calc!BN147,$J$3)</f>
        <v>358.80666666666667</v>
      </c>
      <c r="E66" s="691">
        <f ca="1">IF(Calc!BP147&lt;0,0,IF(Calc!BP147&lt;=$J$6,Calc!BP147,$J$6))</f>
        <v>2735</v>
      </c>
      <c r="F66" s="696">
        <f ca="1">Calc!BL147</f>
        <v>2.6364458901098904</v>
      </c>
      <c r="G66" s="691">
        <f t="shared" ca="1" si="0"/>
        <v>0</v>
      </c>
      <c r="K66" s="691">
        <f ca="1">IF(G66=1,MATCH($K$61,G66:$G$112,0),C66)</f>
        <v>939</v>
      </c>
      <c r="L66" s="716">
        <f t="shared" ca="1" si="1"/>
        <v>939</v>
      </c>
      <c r="M66" s="691">
        <f ca="1">IF(G66=1,MATCH($K$61,G66:$G$112,0),E66)</f>
        <v>2735</v>
      </c>
      <c r="N66" s="716">
        <f t="shared" ca="1" si="2"/>
        <v>2735</v>
      </c>
      <c r="P66" s="690">
        <f t="shared" ca="1" si="3"/>
        <v>278</v>
      </c>
      <c r="Q66" s="692"/>
      <c r="R66" s="690">
        <f t="shared" ca="1" si="4"/>
        <v>862</v>
      </c>
      <c r="S66" s="692"/>
    </row>
    <row r="67" spans="2:19">
      <c r="B67" s="695">
        <f ca="1">IF(Calc!BH148&lt;$J$4,Calc!BH148,$J$4)</f>
        <v>910.51666666666677</v>
      </c>
      <c r="C67" s="691">
        <f ca="1">IF(Calc!BJ148&lt;0,0,IF(Calc!BJ148&lt;=$J$6,Calc!BJ148,$J$6))</f>
        <v>918</v>
      </c>
      <c r="D67" s="695">
        <f ca="1">IF(Calc!BN148&lt;$J$3,Calc!BN148,$J$3)</f>
        <v>364.20666666666671</v>
      </c>
      <c r="E67" s="691">
        <f ca="1">IF(Calc!BP148&lt;0,0,IF(Calc!BP148&lt;=$J$6,Calc!BP148,$J$6))</f>
        <v>2685</v>
      </c>
      <c r="F67" s="696">
        <f ca="1">Calc!BL148</f>
        <v>2.5940683956043955</v>
      </c>
      <c r="G67" s="691">
        <f t="shared" ca="1" si="0"/>
        <v>0</v>
      </c>
      <c r="K67" s="691">
        <f ca="1">IF(G67=1,MATCH($K$61,G67:$G$112,0),C67)</f>
        <v>918</v>
      </c>
      <c r="L67" s="716">
        <f t="shared" ca="1" si="1"/>
        <v>918</v>
      </c>
      <c r="M67" s="691">
        <f ca="1">IF(G67=1,MATCH($K$61,G67:$G$112,0),E67)</f>
        <v>2685</v>
      </c>
      <c r="N67" s="716">
        <f t="shared" ca="1" si="2"/>
        <v>2685</v>
      </c>
      <c r="P67" s="690">
        <f t="shared" ca="1" si="3"/>
        <v>271</v>
      </c>
      <c r="Q67" s="692"/>
      <c r="R67" s="690">
        <f t="shared" ca="1" si="4"/>
        <v>854</v>
      </c>
      <c r="S67" s="692"/>
    </row>
    <row r="68" spans="2:19">
      <c r="B68" s="695">
        <f ca="1">IF(Calc!BH149&lt;$J$4,Calc!BH149,$J$4)</f>
        <v>924.2833333333333</v>
      </c>
      <c r="C68" s="691">
        <f ca="1">IF(Calc!BJ149&lt;0,0,IF(Calc!BJ149&lt;=$J$6,Calc!BJ149,$J$6))</f>
        <v>896</v>
      </c>
      <c r="D68" s="695">
        <f ca="1">IF(Calc!BN149&lt;$J$3,Calc!BN149,$J$3)</f>
        <v>369.71333333333331</v>
      </c>
      <c r="E68" s="691">
        <f ca="1">IF(Calc!BP149&lt;0,0,IF(Calc!BP149&lt;=$J$6,Calc!BP149,$J$6))</f>
        <v>2634</v>
      </c>
      <c r="F68" s="696">
        <f ca="1">Calc!BL149</f>
        <v>2.5510945054945053</v>
      </c>
      <c r="G68" s="691">
        <f t="shared" ca="1" si="0"/>
        <v>0</v>
      </c>
      <c r="K68" s="691">
        <f ca="1">IF(G68=1,MATCH($K$61,G68:$G$112,0),C68)</f>
        <v>896</v>
      </c>
      <c r="L68" s="716">
        <f t="shared" ca="1" si="1"/>
        <v>896</v>
      </c>
      <c r="M68" s="691">
        <f ca="1">IF(G68=1,MATCH($K$61,G68:$G$112,0),E68)</f>
        <v>2634</v>
      </c>
      <c r="N68" s="716">
        <f t="shared" ca="1" si="2"/>
        <v>2634</v>
      </c>
      <c r="P68" s="690">
        <f t="shared" ca="1" si="3"/>
        <v>265</v>
      </c>
      <c r="Q68" s="692"/>
      <c r="R68" s="690">
        <f t="shared" ca="1" si="4"/>
        <v>846</v>
      </c>
      <c r="S68" s="692"/>
    </row>
    <row r="69" spans="2:19">
      <c r="B69" s="695">
        <f ca="1">IF(Calc!BH150&lt;$J$4,Calc!BH150,$J$4)</f>
        <v>938.33333333333326</v>
      </c>
      <c r="C69" s="691">
        <f ca="1">IF(Calc!BJ150&lt;0,0,IF(Calc!BJ150&lt;=$J$6,Calc!BJ150,$J$6))</f>
        <v>874</v>
      </c>
      <c r="D69" s="695">
        <f ca="1">IF(Calc!BN150&lt;$J$3,Calc!BN150,$J$3)</f>
        <v>375.33333333333331</v>
      </c>
      <c r="E69" s="691">
        <f ca="1">IF(Calc!BP150&lt;0,0,IF(Calc!BP150&lt;=$J$6,Calc!BP150,$J$6))</f>
        <v>2582</v>
      </c>
      <c r="F69" s="696">
        <f ca="1">Calc!BL150</f>
        <v>2.5075242197802194</v>
      </c>
      <c r="G69" s="691">
        <f t="shared" ca="1" si="0"/>
        <v>0</v>
      </c>
      <c r="K69" s="691">
        <f ca="1">IF(G69=1,MATCH($K$61,G69:$G$112,0),C69)</f>
        <v>874</v>
      </c>
      <c r="L69" s="716">
        <f t="shared" ca="1" si="1"/>
        <v>874</v>
      </c>
      <c r="M69" s="691">
        <f ca="1">IF(G69=1,MATCH($K$61,G69:$G$112,0),E69)</f>
        <v>2582</v>
      </c>
      <c r="N69" s="716">
        <f t="shared" ca="1" si="2"/>
        <v>2582</v>
      </c>
      <c r="P69" s="690">
        <f t="shared" ca="1" si="3"/>
        <v>259</v>
      </c>
      <c r="Q69" s="692"/>
      <c r="R69" s="690">
        <f t="shared" ca="1" si="4"/>
        <v>838</v>
      </c>
      <c r="S69" s="692"/>
    </row>
    <row r="70" spans="2:19">
      <c r="B70" s="695">
        <f ca="1">IF(Calc!BH151&lt;$J$4,Calc!BH151,$J$4)</f>
        <v>952.63333333333333</v>
      </c>
      <c r="C70" s="691">
        <f ca="1">IF(Calc!BJ151&lt;0,0,IF(Calc!BJ151&lt;=$J$6,Calc!BJ151,$J$6))</f>
        <v>851</v>
      </c>
      <c r="D70" s="695">
        <f ca="1">IF(Calc!BN151&lt;$J$3,Calc!BN151,$J$3)</f>
        <v>381.05333333333334</v>
      </c>
      <c r="E70" s="691">
        <f ca="1">IF(Calc!BP151&lt;0,0,IF(Calc!BP151&lt;=$J$6,Calc!BP151,$J$6))</f>
        <v>2530</v>
      </c>
      <c r="F70" s="696">
        <f ca="1">Calc!BL151</f>
        <v>2.4633575384615383</v>
      </c>
      <c r="G70" s="691">
        <f t="shared" ca="1" si="0"/>
        <v>0</v>
      </c>
      <c r="K70" s="691">
        <f ca="1">IF(G70=1,MATCH($K$61,G70:$G$112,0),C70)</f>
        <v>851</v>
      </c>
      <c r="L70" s="716">
        <f t="shared" ca="1" si="1"/>
        <v>851</v>
      </c>
      <c r="M70" s="691">
        <f ca="1">IF(G70=1,MATCH($K$61,G70:$G$112,0),E70)</f>
        <v>2530</v>
      </c>
      <c r="N70" s="716">
        <f t="shared" ca="1" si="2"/>
        <v>2530</v>
      </c>
      <c r="P70" s="690">
        <f t="shared" ca="1" si="3"/>
        <v>253</v>
      </c>
      <c r="Q70" s="692"/>
      <c r="R70" s="690">
        <f t="shared" ca="1" si="4"/>
        <v>830</v>
      </c>
      <c r="S70" s="692"/>
    </row>
    <row r="71" spans="2:19">
      <c r="B71" s="695">
        <f ca="1">IF(Calc!BH152&lt;$J$4,Calc!BH152,$J$4)</f>
        <v>967.2166666666667</v>
      </c>
      <c r="C71" s="691">
        <f ca="1">IF(Calc!BJ152&lt;0,0,IF(Calc!BJ152&lt;=$J$6,Calc!BJ152,$J$6))</f>
        <v>828</v>
      </c>
      <c r="D71" s="695">
        <f ca="1">IF(Calc!BN152&lt;$J$3,Calc!BN152,$J$3)</f>
        <v>386.88666666666666</v>
      </c>
      <c r="E71" s="691">
        <f ca="1">IF(Calc!BP152&lt;0,0,IF(Calc!BP152&lt;=$J$6,Calc!BP152,$J$6))</f>
        <v>2477</v>
      </c>
      <c r="F71" s="696">
        <f ca="1">Calc!BL152</f>
        <v>2.4185944615384618</v>
      </c>
      <c r="G71" s="691">
        <f t="shared" ca="1" si="0"/>
        <v>0</v>
      </c>
      <c r="K71" s="691">
        <f ca="1">IF(G71=1,MATCH($K$61,G71:$G$112,0),C71)</f>
        <v>828</v>
      </c>
      <c r="L71" s="716">
        <f t="shared" ca="1" si="1"/>
        <v>828</v>
      </c>
      <c r="M71" s="691">
        <f ca="1">IF(G71=1,MATCH($K$61,G71:$G$112,0),E71)</f>
        <v>2477</v>
      </c>
      <c r="N71" s="716">
        <f t="shared" ca="1" si="2"/>
        <v>2477</v>
      </c>
      <c r="P71" s="690">
        <f t="shared" ca="1" si="3"/>
        <v>247</v>
      </c>
      <c r="Q71" s="692"/>
      <c r="R71" s="690">
        <f t="shared" ca="1" si="4"/>
        <v>823</v>
      </c>
      <c r="S71" s="692"/>
    </row>
    <row r="72" spans="2:19">
      <c r="B72" s="695">
        <f ca="1">IF(Calc!BH153&lt;$J$4,Calc!BH153,$J$4)</f>
        <v>982.06666666666661</v>
      </c>
      <c r="C72" s="691">
        <f ca="1">IF(Calc!BJ153&lt;0,0,IF(Calc!BJ153&lt;=$J$6,Calc!BJ153,$J$6))</f>
        <v>805</v>
      </c>
      <c r="D72" s="695">
        <f ca="1">IF(Calc!BN153&lt;$J$3,Calc!BN153,$J$3)</f>
        <v>392.82666666666665</v>
      </c>
      <c r="E72" s="691">
        <f ca="1">IF(Calc!BP153&lt;0,0,IF(Calc!BP153&lt;=$J$6,Calc!BP153,$J$6))</f>
        <v>2423</v>
      </c>
      <c r="F72" s="696">
        <f ca="1">Calc!BL153</f>
        <v>2.3732349890109892</v>
      </c>
      <c r="G72" s="691">
        <f t="shared" ca="1" si="0"/>
        <v>0</v>
      </c>
      <c r="K72" s="691">
        <f ca="1">IF(G72=1,MATCH($K$61,G72:$G$112,0),C72)</f>
        <v>805</v>
      </c>
      <c r="L72" s="716">
        <f t="shared" ca="1" si="1"/>
        <v>805</v>
      </c>
      <c r="M72" s="691">
        <f ca="1">IF(G72=1,MATCH($K$61,G72:$G$112,0),E72)</f>
        <v>2423</v>
      </c>
      <c r="N72" s="716">
        <f t="shared" ca="1" si="2"/>
        <v>2423</v>
      </c>
      <c r="P72" s="690">
        <f t="shared" ca="1" si="3"/>
        <v>241</v>
      </c>
      <c r="Q72" s="692"/>
      <c r="R72" s="690">
        <f t="shared" ca="1" si="4"/>
        <v>815</v>
      </c>
      <c r="S72" s="692"/>
    </row>
    <row r="73" spans="2:19">
      <c r="B73" s="695">
        <f ca="1">IF(Calc!BH154&lt;$J$4,Calc!BH154,$J$4)</f>
        <v>997.2</v>
      </c>
      <c r="C73" s="691">
        <f ca="1">IF(Calc!BJ154&lt;0,0,IF(Calc!BJ154&lt;=$J$6,Calc!BJ154,$J$6))</f>
        <v>781</v>
      </c>
      <c r="D73" s="695">
        <f ca="1">IF(Calc!BN154&lt;$J$3,Calc!BN154,$J$3)</f>
        <v>398.88</v>
      </c>
      <c r="E73" s="691">
        <f ca="1">IF(Calc!BP154&lt;0,0,IF(Calc!BP154&lt;=$J$6,Calc!BP154,$J$6))</f>
        <v>2368</v>
      </c>
      <c r="F73" s="696">
        <f ca="1">Calc!BL154</f>
        <v>2.3272791208791213</v>
      </c>
      <c r="G73" s="691">
        <f t="shared" ca="1" si="0"/>
        <v>0</v>
      </c>
      <c r="K73" s="691">
        <f ca="1">IF(G73=1,MATCH($K$61,G73:$G$112,0),C73)</f>
        <v>781</v>
      </c>
      <c r="L73" s="716">
        <f t="shared" ca="1" si="1"/>
        <v>781</v>
      </c>
      <c r="M73" s="691">
        <f ca="1">IF(G73=1,MATCH($K$61,G73:$G$112,0),E73)</f>
        <v>2368</v>
      </c>
      <c r="N73" s="716">
        <f t="shared" ca="1" si="2"/>
        <v>2368</v>
      </c>
      <c r="P73" s="690">
        <f t="shared" ca="1" si="3"/>
        <v>235</v>
      </c>
      <c r="Q73" s="692"/>
      <c r="R73" s="690">
        <f t="shared" ca="1" si="4"/>
        <v>808</v>
      </c>
      <c r="S73" s="692"/>
    </row>
    <row r="74" spans="2:19">
      <c r="B74" s="695">
        <f ca="1">IF(Calc!BH155&lt;$J$4,Calc!BH155,$J$4)</f>
        <v>1000</v>
      </c>
      <c r="C74" s="691">
        <f ca="1">IF(Calc!BJ155&lt;0,0,IF(Calc!BJ155&lt;=$J$6,Calc!BJ155,$J$6))</f>
        <v>758</v>
      </c>
      <c r="D74" s="695">
        <f ca="1">IF(Calc!BN155&lt;$J$3,Calc!BN155,$J$3)</f>
        <v>400</v>
      </c>
      <c r="E74" s="691">
        <f ca="1">IF(Calc!BP155&lt;0,0,IF(Calc!BP155&lt;=$J$6,Calc!BP155,$J$6))</f>
        <v>2313</v>
      </c>
      <c r="F74" s="696">
        <f ca="1">Calc!BL155</f>
        <v>2.2807268571428576</v>
      </c>
      <c r="G74" s="691">
        <f t="shared" ca="1" si="0"/>
        <v>0</v>
      </c>
      <c r="K74" s="691">
        <f ca="1">IF(G74=1,MATCH($K$61,G74:$G$112,0),C74)</f>
        <v>758</v>
      </c>
      <c r="L74" s="716">
        <f t="shared" ca="1" si="1"/>
        <v>758</v>
      </c>
      <c r="M74" s="691">
        <f ca="1">IF(G74=1,MATCH($K$61,G74:$G$112,0),E74)</f>
        <v>2313</v>
      </c>
      <c r="N74" s="716">
        <f t="shared" ca="1" si="2"/>
        <v>2313</v>
      </c>
      <c r="P74" s="690">
        <f t="shared" ca="1" si="3"/>
        <v>229</v>
      </c>
      <c r="Q74" s="692"/>
      <c r="R74" s="690">
        <f t="shared" ca="1" si="4"/>
        <v>800</v>
      </c>
      <c r="S74" s="692"/>
    </row>
    <row r="75" spans="2:19">
      <c r="B75" s="695">
        <f ca="1">IF(Calc!BH156&lt;$J$4,Calc!BH156,$J$4)</f>
        <v>1000</v>
      </c>
      <c r="C75" s="691">
        <f ca="1">IF(Calc!BJ156&lt;0,0,IF(Calc!BJ156&lt;=$J$6,Calc!BJ156,$J$6))</f>
        <v>733</v>
      </c>
      <c r="D75" s="695">
        <f ca="1">IF(Calc!BN156&lt;$J$3,Calc!BN156,$J$3)</f>
        <v>400</v>
      </c>
      <c r="E75" s="691">
        <f ca="1">IF(Calc!BP156&lt;0,0,IF(Calc!BP156&lt;=$J$6,Calc!BP156,$J$6))</f>
        <v>2257</v>
      </c>
      <c r="F75" s="696">
        <f ca="1">Calc!BL156</f>
        <v>2.2335781978021974</v>
      </c>
      <c r="G75" s="691">
        <f t="shared" ca="1" si="0"/>
        <v>0</v>
      </c>
      <c r="K75" s="691">
        <f ca="1">IF(G75=1,MATCH($K$61,G75:$G$112,0),C75)</f>
        <v>733</v>
      </c>
      <c r="L75" s="716">
        <f t="shared" ca="1" si="1"/>
        <v>733</v>
      </c>
      <c r="M75" s="691">
        <f ca="1">IF(G75=1,MATCH($K$61,G75:$G$112,0),E75)</f>
        <v>2257</v>
      </c>
      <c r="N75" s="716">
        <f t="shared" ca="1" si="2"/>
        <v>2257</v>
      </c>
      <c r="P75" s="690">
        <f t="shared" ca="1" si="3"/>
        <v>223</v>
      </c>
      <c r="Q75" s="692"/>
      <c r="R75" s="690">
        <f t="shared" ca="1" si="4"/>
        <v>793</v>
      </c>
      <c r="S75" s="692"/>
    </row>
    <row r="76" spans="2:19">
      <c r="B76" s="695">
        <f ca="1">IF(Calc!BH157&lt;$J$4,Calc!BH157,$J$4)</f>
        <v>1000</v>
      </c>
      <c r="C76" s="691">
        <f ca="1">IF(Calc!BJ157&lt;0,0,IF(Calc!BJ157&lt;=$J$6,Calc!BJ157,$J$6))</f>
        <v>709</v>
      </c>
      <c r="D76" s="695">
        <f ca="1">IF(Calc!BN157&lt;$J$3,Calc!BN157,$J$3)</f>
        <v>400</v>
      </c>
      <c r="E76" s="691">
        <f ca="1">IF(Calc!BP157&lt;0,0,IF(Calc!BP157&lt;=$J$6,Calc!BP157,$J$6))</f>
        <v>2200</v>
      </c>
      <c r="F76" s="696">
        <f ca="1">Calc!BL157</f>
        <v>2.1858331428571427</v>
      </c>
      <c r="G76" s="691">
        <f t="shared" ca="1" si="0"/>
        <v>0</v>
      </c>
      <c r="K76" s="691">
        <f ca="1">IF(G76=1,MATCH($K$61,G76:$G$112,0),C76)</f>
        <v>709</v>
      </c>
      <c r="L76" s="716">
        <f t="shared" ca="1" si="1"/>
        <v>709</v>
      </c>
      <c r="M76" s="691">
        <f ca="1">IF(G76=1,MATCH($K$61,G76:$G$112,0),E76)</f>
        <v>2200</v>
      </c>
      <c r="N76" s="716">
        <f t="shared" ca="1" si="2"/>
        <v>2200</v>
      </c>
      <c r="P76" s="690">
        <f t="shared" ca="1" si="3"/>
        <v>217</v>
      </c>
      <c r="Q76" s="692"/>
      <c r="R76" s="690">
        <f t="shared" ca="1" si="4"/>
        <v>785</v>
      </c>
      <c r="S76" s="692"/>
    </row>
    <row r="77" spans="2:19">
      <c r="B77" s="695">
        <f ca="1">IF(Calc!BH158&lt;$J$4,Calc!BH158,$J$4)</f>
        <v>1000</v>
      </c>
      <c r="C77" s="691">
        <f ca="1">IF(Calc!BJ158&lt;0,0,IF(Calc!BJ158&lt;=$J$6,Calc!BJ158,$J$6))</f>
        <v>684</v>
      </c>
      <c r="D77" s="695">
        <f ca="1">IF(Calc!BN158&lt;$J$3,Calc!BN158,$J$3)</f>
        <v>400</v>
      </c>
      <c r="E77" s="691">
        <f ca="1">IF(Calc!BP158&lt;0,0,IF(Calc!BP158&lt;=$J$6,Calc!BP158,$J$6))</f>
        <v>2142</v>
      </c>
      <c r="F77" s="696">
        <f ca="1">Calc!BL158</f>
        <v>2.1374916923076923</v>
      </c>
      <c r="G77" s="691">
        <f t="shared" ca="1" si="0"/>
        <v>0</v>
      </c>
      <c r="K77" s="691">
        <f ca="1">IF(G77=1,MATCH($K$61,G77:$G$112,0),C77)</f>
        <v>684</v>
      </c>
      <c r="L77" s="716">
        <f t="shared" ca="1" si="1"/>
        <v>684</v>
      </c>
      <c r="M77" s="691">
        <f ca="1">IF(G77=1,MATCH($K$61,G77:$G$112,0),E77)</f>
        <v>2142</v>
      </c>
      <c r="N77" s="716">
        <f t="shared" ca="1" si="2"/>
        <v>2142</v>
      </c>
      <c r="P77" s="690">
        <f t="shared" ca="1" si="3"/>
        <v>211</v>
      </c>
      <c r="Q77" s="692"/>
      <c r="R77" s="690">
        <f t="shared" ca="1" si="4"/>
        <v>777</v>
      </c>
      <c r="S77" s="692"/>
    </row>
    <row r="78" spans="2:19">
      <c r="B78" s="695">
        <f ca="1">IF(Calc!BH159&lt;$J$4,Calc!BH159,$J$4)</f>
        <v>1000</v>
      </c>
      <c r="C78" s="691">
        <f ca="1">IF(Calc!BJ159&lt;0,0,IF(Calc!BJ159&lt;=$J$6,Calc!BJ159,$J$6))</f>
        <v>659</v>
      </c>
      <c r="D78" s="695">
        <f ca="1">IF(Calc!BN159&lt;$J$3,Calc!BN159,$J$3)</f>
        <v>400</v>
      </c>
      <c r="E78" s="691">
        <f ca="1">IF(Calc!BP159&lt;0,0,IF(Calc!BP159&lt;=$J$6,Calc!BP159,$J$6))</f>
        <v>2084</v>
      </c>
      <c r="F78" s="696">
        <f ca="1">Calc!BL159</f>
        <v>2.0885538461538462</v>
      </c>
      <c r="G78" s="691">
        <f t="shared" ca="1" si="0"/>
        <v>0</v>
      </c>
      <c r="K78" s="691">
        <f ca="1">IF(G78=1,MATCH($K$61,G78:$G$112,0),C78)</f>
        <v>659</v>
      </c>
      <c r="L78" s="716">
        <f t="shared" ca="1" si="1"/>
        <v>659</v>
      </c>
      <c r="M78" s="691">
        <f ca="1">IF(G78=1,MATCH($K$61,G78:$G$112,0),E78)</f>
        <v>2084</v>
      </c>
      <c r="N78" s="716">
        <f t="shared" ca="1" si="2"/>
        <v>2084</v>
      </c>
      <c r="P78" s="690">
        <f t="shared" ca="1" si="3"/>
        <v>205</v>
      </c>
      <c r="Q78" s="692"/>
      <c r="R78" s="690">
        <f t="shared" ca="1" si="4"/>
        <v>770</v>
      </c>
      <c r="S78" s="692"/>
    </row>
    <row r="79" spans="2:19">
      <c r="B79" s="695">
        <f ca="1">IF(Calc!BH160&lt;$J$4,Calc!BH160,$J$4)</f>
        <v>1000</v>
      </c>
      <c r="C79" s="691">
        <f ca="1">IF(Calc!BJ160&lt;0,0,IF(Calc!BJ160&lt;=$J$6,Calc!BJ160,$J$6))</f>
        <v>634</v>
      </c>
      <c r="D79" s="695">
        <f ca="1">IF(Calc!BN160&lt;$J$3,Calc!BN160,$J$3)</f>
        <v>400</v>
      </c>
      <c r="E79" s="691">
        <f ca="1">IF(Calc!BP160&lt;0,0,IF(Calc!BP160&lt;=$J$6,Calc!BP160,$J$6))</f>
        <v>2025</v>
      </c>
      <c r="F79" s="696">
        <f ca="1">Calc!BL160</f>
        <v>2.0390196043956044</v>
      </c>
      <c r="G79" s="691">
        <f t="shared" ca="1" si="0"/>
        <v>0</v>
      </c>
      <c r="K79" s="691">
        <f ca="1">IF(G79=1,MATCH($K$61,G79:$G$112,0),C79)</f>
        <v>634</v>
      </c>
      <c r="L79" s="716">
        <f t="shared" ca="1" si="1"/>
        <v>634</v>
      </c>
      <c r="M79" s="691">
        <f ca="1">IF(G79=1,MATCH($K$61,G79:$G$112,0),E79)</f>
        <v>2025</v>
      </c>
      <c r="N79" s="716">
        <f t="shared" ca="1" si="2"/>
        <v>2025</v>
      </c>
      <c r="P79" s="690">
        <f t="shared" ca="1" si="3"/>
        <v>199</v>
      </c>
      <c r="Q79" s="692"/>
      <c r="R79" s="690">
        <f t="shared" ca="1" si="4"/>
        <v>762</v>
      </c>
      <c r="S79" s="692"/>
    </row>
    <row r="80" spans="2:19">
      <c r="B80" s="695">
        <f ca="1">IF(Calc!BH161&lt;$J$4,Calc!BH161,$J$4)</f>
        <v>1000</v>
      </c>
      <c r="C80" s="691">
        <f ca="1">IF(Calc!BJ161&lt;0,0,IF(Calc!BJ161&lt;=$J$6,Calc!BJ161,$J$6))</f>
        <v>608</v>
      </c>
      <c r="D80" s="695">
        <f ca="1">IF(Calc!BN161&lt;$J$3,Calc!BN161,$J$3)</f>
        <v>400</v>
      </c>
      <c r="E80" s="691">
        <f ca="1">IF(Calc!BP161&lt;0,0,IF(Calc!BP161&lt;=$J$6,Calc!BP161,$J$6))</f>
        <v>1965</v>
      </c>
      <c r="F80" s="696">
        <f ca="1">Calc!BL161</f>
        <v>1.9888889670329672</v>
      </c>
      <c r="G80" s="691">
        <f t="shared" ca="1" si="0"/>
        <v>0</v>
      </c>
      <c r="K80" s="691">
        <f ca="1">IF(G80=1,MATCH($K$61,G80:$G$112,0),C80)</f>
        <v>608</v>
      </c>
      <c r="L80" s="716">
        <f t="shared" ca="1" si="1"/>
        <v>608</v>
      </c>
      <c r="M80" s="691">
        <f ca="1">IF(G80=1,MATCH($K$61,G80:$G$112,0),E80)</f>
        <v>1965</v>
      </c>
      <c r="N80" s="716">
        <f t="shared" ca="1" si="2"/>
        <v>1965</v>
      </c>
      <c r="P80" s="690">
        <f t="shared" ca="1" si="3"/>
        <v>193</v>
      </c>
      <c r="Q80" s="692"/>
      <c r="R80" s="690">
        <f t="shared" ca="1" si="4"/>
        <v>755</v>
      </c>
      <c r="S80" s="692"/>
    </row>
    <row r="81" spans="2:19">
      <c r="B81" s="695">
        <f ca="1">IF(Calc!BH162&lt;$J$4,Calc!BH162,$J$4)</f>
        <v>1000</v>
      </c>
      <c r="C81" s="691">
        <f ca="1">IF(Calc!BJ162&lt;0,0,IF(Calc!BJ162&lt;=$J$6,Calc!BJ162,$J$6))</f>
        <v>582</v>
      </c>
      <c r="D81" s="695">
        <f ca="1">IF(Calc!BN162&lt;$J$3,Calc!BN162,$J$3)</f>
        <v>400</v>
      </c>
      <c r="E81" s="691">
        <f ca="1">IF(Calc!BP162&lt;0,0,IF(Calc!BP162&lt;=$J$6,Calc!BP162,$J$6))</f>
        <v>1905</v>
      </c>
      <c r="F81" s="696">
        <f ca="1">Calc!BL162</f>
        <v>1.938161934065934</v>
      </c>
      <c r="G81" s="691">
        <f t="shared" ca="1" si="0"/>
        <v>0</v>
      </c>
      <c r="K81" s="691">
        <f ca="1">IF(G81=1,MATCH($K$61,G81:$G$112,0),C81)</f>
        <v>582</v>
      </c>
      <c r="L81" s="716">
        <f t="shared" ca="1" si="1"/>
        <v>582</v>
      </c>
      <c r="M81" s="691">
        <f ca="1">IF(G81=1,MATCH($K$61,G81:$G$112,0),E81)</f>
        <v>1905</v>
      </c>
      <c r="N81" s="716">
        <f t="shared" ca="1" si="2"/>
        <v>1905</v>
      </c>
      <c r="P81" s="690">
        <f t="shared" ca="1" si="3"/>
        <v>187</v>
      </c>
      <c r="Q81" s="692"/>
      <c r="R81" s="690">
        <f t="shared" ca="1" si="4"/>
        <v>747</v>
      </c>
      <c r="S81" s="692"/>
    </row>
    <row r="82" spans="2:19">
      <c r="B82" s="695">
        <f ca="1">IF(Calc!BH163&lt;$J$4,Calc!BH163,$J$4)</f>
        <v>1000</v>
      </c>
      <c r="C82" s="691">
        <f ca="1">IF(Calc!BJ163&lt;0,0,IF(Calc!BJ163&lt;=$J$6,Calc!BJ163,$J$6))</f>
        <v>555</v>
      </c>
      <c r="D82" s="695">
        <f ca="1">IF(Calc!BN163&lt;$J$3,Calc!BN163,$J$3)</f>
        <v>400</v>
      </c>
      <c r="E82" s="691">
        <f ca="1">IF(Calc!BP163&lt;0,0,IF(Calc!BP163&lt;=$J$6,Calc!BP163,$J$6))</f>
        <v>1844</v>
      </c>
      <c r="F82" s="696">
        <f ca="1">Calc!BL163</f>
        <v>1.8868385054945054</v>
      </c>
      <c r="G82" s="691">
        <f t="shared" ca="1" si="0"/>
        <v>0</v>
      </c>
      <c r="K82" s="691">
        <f ca="1">IF(G82=1,MATCH($K$61,G82:$G$112,0),C82)</f>
        <v>555</v>
      </c>
      <c r="L82" s="716">
        <f t="shared" ca="1" si="1"/>
        <v>555</v>
      </c>
      <c r="M82" s="691">
        <f ca="1">IF(G82=1,MATCH($K$61,G82:$G$112,0),E82)</f>
        <v>1844</v>
      </c>
      <c r="N82" s="716">
        <f t="shared" ca="1" si="2"/>
        <v>1844</v>
      </c>
      <c r="P82" s="690">
        <f t="shared" ca="1" si="3"/>
        <v>181</v>
      </c>
      <c r="Q82" s="692"/>
      <c r="R82" s="690">
        <f t="shared" ca="1" si="4"/>
        <v>739</v>
      </c>
      <c r="S82" s="692"/>
    </row>
    <row r="83" spans="2:19">
      <c r="B83" s="695">
        <f ca="1">IF(Calc!BH164&lt;$J$4,Calc!BH164,$J$4)</f>
        <v>1000</v>
      </c>
      <c r="C83" s="691">
        <f ca="1">IF(Calc!BJ164&lt;0,0,IF(Calc!BJ164&lt;=$J$6,Calc!BJ164,$J$6))</f>
        <v>529</v>
      </c>
      <c r="D83" s="695">
        <f ca="1">IF(Calc!BN164&lt;$J$3,Calc!BN164,$J$3)</f>
        <v>400</v>
      </c>
      <c r="E83" s="691">
        <f ca="1">IF(Calc!BP164&lt;0,0,IF(Calc!BP164&lt;=$J$6,Calc!BP164,$J$6))</f>
        <v>1782</v>
      </c>
      <c r="F83" s="696">
        <f ca="1">Calc!BL164</f>
        <v>1.8349186813186811</v>
      </c>
      <c r="G83" s="691">
        <f t="shared" ca="1" si="0"/>
        <v>0</v>
      </c>
      <c r="K83" s="691">
        <f ca="1">IF(G83=1,MATCH($K$61,G83:$G$112,0),C83)</f>
        <v>529</v>
      </c>
      <c r="L83" s="716">
        <f t="shared" ca="1" si="1"/>
        <v>529</v>
      </c>
      <c r="M83" s="691">
        <f ca="1">IF(G83=1,MATCH($K$61,G83:$G$112,0),E83)</f>
        <v>1782</v>
      </c>
      <c r="N83" s="716">
        <f t="shared" ca="1" si="2"/>
        <v>1782</v>
      </c>
      <c r="P83" s="690">
        <f t="shared" ca="1" si="3"/>
        <v>175</v>
      </c>
      <c r="Q83" s="692"/>
      <c r="R83" s="690">
        <f t="shared" ca="1" si="4"/>
        <v>732</v>
      </c>
      <c r="S83" s="692"/>
    </row>
    <row r="84" spans="2:19">
      <c r="B84" s="695">
        <f ca="1">IF(Calc!BH165&lt;$J$4,Calc!BH165,$J$4)</f>
        <v>1000</v>
      </c>
      <c r="C84" s="691">
        <f ca="1">IF(Calc!BJ165&lt;0,0,IF(Calc!BJ165&lt;=$J$6,Calc!BJ165,$J$6))</f>
        <v>502</v>
      </c>
      <c r="D84" s="695">
        <f ca="1">IF(Calc!BN165&lt;$J$3,Calc!BN165,$J$3)</f>
        <v>400</v>
      </c>
      <c r="E84" s="691">
        <f ca="1">IF(Calc!BP165&lt;0,0,IF(Calc!BP165&lt;=$J$6,Calc!BP165,$J$6))</f>
        <v>1720</v>
      </c>
      <c r="F84" s="696">
        <f ca="1">Calc!BL165</f>
        <v>1.7824024615384615</v>
      </c>
      <c r="G84" s="691">
        <f t="shared" ca="1" si="0"/>
        <v>0</v>
      </c>
      <c r="K84" s="691">
        <f ca="1">IF(G84=1,MATCH($K$61,G84:$G$112,0),C84)</f>
        <v>502</v>
      </c>
      <c r="L84" s="716">
        <f t="shared" ca="1" si="1"/>
        <v>502</v>
      </c>
      <c r="M84" s="691">
        <f ca="1">IF(G84=1,MATCH($K$61,G84:$G$112,0),E84)</f>
        <v>1720</v>
      </c>
      <c r="N84" s="716">
        <f t="shared" ca="1" si="2"/>
        <v>1720</v>
      </c>
      <c r="P84" s="690">
        <f t="shared" ca="1" si="3"/>
        <v>169</v>
      </c>
      <c r="Q84" s="692"/>
      <c r="R84" s="690">
        <f t="shared" ca="1" si="4"/>
        <v>723</v>
      </c>
      <c r="S84" s="692"/>
    </row>
    <row r="85" spans="2:19">
      <c r="B85" s="695">
        <f ca="1">IF(Calc!BH166&lt;$J$4,Calc!BH166,$J$4)</f>
        <v>1000</v>
      </c>
      <c r="C85" s="691">
        <f ca="1">IF(Calc!BJ166&lt;0,0,IF(Calc!BJ166&lt;=$J$6,Calc!BJ166,$J$6))</f>
        <v>474</v>
      </c>
      <c r="D85" s="695">
        <f ca="1">IF(Calc!BN166&lt;$J$3,Calc!BN166,$J$3)</f>
        <v>400</v>
      </c>
      <c r="E85" s="691">
        <f ca="1">IF(Calc!BP166&lt;0,0,IF(Calc!BP166&lt;=$J$6,Calc!BP166,$J$6))</f>
        <v>1656</v>
      </c>
      <c r="F85" s="696">
        <f ca="1">Calc!BL166</f>
        <v>1.7292898461538462</v>
      </c>
      <c r="G85" s="691">
        <f t="shared" ca="1" si="0"/>
        <v>0</v>
      </c>
      <c r="K85" s="691">
        <f ca="1">IF(G85=1,MATCH($K$61,G85:$G$112,0),C85)</f>
        <v>474</v>
      </c>
      <c r="L85" s="716">
        <f t="shared" ca="1" si="1"/>
        <v>474</v>
      </c>
      <c r="M85" s="691">
        <f ca="1">IF(G85=1,MATCH($K$61,G85:$G$112,0),E85)</f>
        <v>1656</v>
      </c>
      <c r="N85" s="716">
        <f t="shared" ca="1" si="2"/>
        <v>1656</v>
      </c>
      <c r="P85" s="690">
        <f t="shared" ca="1" si="3"/>
        <v>162</v>
      </c>
      <c r="Q85" s="692"/>
      <c r="R85" s="690">
        <f t="shared" ca="1" si="4"/>
        <v>714</v>
      </c>
      <c r="S85" s="692"/>
    </row>
    <row r="86" spans="2:19">
      <c r="B86" s="695">
        <f ca="1">IF(Calc!BH167&lt;$J$4,Calc!BH167,$J$4)</f>
        <v>1000</v>
      </c>
      <c r="C86" s="691">
        <f ca="1">IF(Calc!BJ167&lt;0,0,IF(Calc!BJ167&lt;=$J$6,Calc!BJ167,$J$6))</f>
        <v>447</v>
      </c>
      <c r="D86" s="695">
        <f ca="1">IF(Calc!BN167&lt;$J$3,Calc!BN167,$J$3)</f>
        <v>400</v>
      </c>
      <c r="E86" s="691">
        <f ca="1">IF(Calc!BP167&lt;0,0,IF(Calc!BP167&lt;=$J$6,Calc!BP167,$J$6))</f>
        <v>1592</v>
      </c>
      <c r="F86" s="696">
        <f ca="1">Calc!BL167</f>
        <v>1.6755808351648354</v>
      </c>
      <c r="G86" s="691">
        <f t="shared" ca="1" si="0"/>
        <v>0</v>
      </c>
      <c r="K86" s="691">
        <f ca="1">IF(G86=1,MATCH($K$61,G86:$G$112,0),C86)</f>
        <v>447</v>
      </c>
      <c r="L86" s="716">
        <f t="shared" ca="1" si="1"/>
        <v>447</v>
      </c>
      <c r="M86" s="691">
        <f ca="1">IF(G86=1,MATCH($K$61,G86:$G$112,0),E86)</f>
        <v>1592</v>
      </c>
      <c r="N86" s="716">
        <f t="shared" ca="1" si="2"/>
        <v>1592</v>
      </c>
      <c r="P86" s="690">
        <f t="shared" ca="1" si="3"/>
        <v>155</v>
      </c>
      <c r="Q86" s="692"/>
      <c r="R86" s="690">
        <f t="shared" ca="1" si="4"/>
        <v>704</v>
      </c>
      <c r="S86" s="692"/>
    </row>
    <row r="87" spans="2:19">
      <c r="B87" s="695">
        <f ca="1">IF(Calc!BH168&lt;$J$4,Calc!BH168,$J$4)</f>
        <v>1000</v>
      </c>
      <c r="C87" s="691">
        <f ca="1">IF(Calc!BJ168&lt;0,0,IF(Calc!BJ168&lt;=$J$6,Calc!BJ168,$J$6))</f>
        <v>419</v>
      </c>
      <c r="D87" s="695">
        <f ca="1">IF(Calc!BN168&lt;$J$3,Calc!BN168,$J$3)</f>
        <v>400</v>
      </c>
      <c r="E87" s="691">
        <f ca="1">IF(Calc!BP168&lt;0,0,IF(Calc!BP168&lt;=$J$6,Calc!BP168,$J$6))</f>
        <v>1528</v>
      </c>
      <c r="F87" s="696">
        <f ca="1">Calc!BL168</f>
        <v>1.6212754285714288</v>
      </c>
      <c r="G87" s="691">
        <f t="shared" ca="1" si="0"/>
        <v>0</v>
      </c>
      <c r="K87" s="691">
        <f ca="1">IF(G87=1,MATCH($K$61,G87:$G$112,0),C87)</f>
        <v>419</v>
      </c>
      <c r="L87" s="716">
        <f t="shared" ca="1" si="1"/>
        <v>419</v>
      </c>
      <c r="M87" s="691">
        <f ca="1">IF(G87=1,MATCH($K$61,G87:$G$112,0),E87)</f>
        <v>1528</v>
      </c>
      <c r="N87" s="716">
        <f t="shared" ca="1" si="2"/>
        <v>1528</v>
      </c>
      <c r="P87" s="690">
        <f t="shared" ca="1" si="3"/>
        <v>149</v>
      </c>
      <c r="Q87" s="692"/>
      <c r="R87" s="690">
        <f t="shared" ca="1" si="4"/>
        <v>695</v>
      </c>
      <c r="S87" s="692"/>
    </row>
    <row r="88" spans="2:19">
      <c r="B88" s="695">
        <f ca="1">IF(Calc!BH169&lt;$J$4,Calc!BH169,$J$4)</f>
        <v>1000</v>
      </c>
      <c r="C88" s="691">
        <f ca="1">IF(Calc!BJ169&lt;0,0,IF(Calc!BJ169&lt;=$J$6,Calc!BJ169,$J$6))</f>
        <v>391</v>
      </c>
      <c r="D88" s="695">
        <f ca="1">IF(Calc!BN169&lt;$J$3,Calc!BN169,$J$3)</f>
        <v>400</v>
      </c>
      <c r="E88" s="691">
        <f ca="1">IF(Calc!BP169&lt;0,0,IF(Calc!BP169&lt;=$J$6,Calc!BP169,$J$6))</f>
        <v>1462</v>
      </c>
      <c r="F88" s="696">
        <f ca="1">Calc!BL169</f>
        <v>1.5663736263736265</v>
      </c>
      <c r="G88" s="691">
        <f t="shared" ca="1" si="0"/>
        <v>0</v>
      </c>
      <c r="K88" s="691">
        <f ca="1">IF(G88=1,MATCH($K$61,G88:$G$112,0),C88)</f>
        <v>391</v>
      </c>
      <c r="L88" s="716">
        <f t="shared" ca="1" si="1"/>
        <v>391</v>
      </c>
      <c r="M88" s="691">
        <f ca="1">IF(G88=1,MATCH($K$61,G88:$G$112,0),E88)</f>
        <v>1462</v>
      </c>
      <c r="N88" s="716">
        <f t="shared" ca="1" si="2"/>
        <v>1462</v>
      </c>
      <c r="P88" s="690">
        <f t="shared" ca="1" si="3"/>
        <v>142</v>
      </c>
      <c r="Q88" s="692"/>
      <c r="R88" s="690">
        <f t="shared" ca="1" si="4"/>
        <v>686</v>
      </c>
      <c r="S88" s="692"/>
    </row>
    <row r="89" spans="2:19">
      <c r="B89" s="691">
        <f ca="1">IF(Calc!BH170&lt;$J$4,Calc!BH170,$J$4)</f>
        <v>1000</v>
      </c>
      <c r="C89" s="691">
        <f ca="1">IF(Calc!BJ170&lt;0,0,IF(Calc!BJ170&lt;=$J$6,Calc!BJ170,$J$6))</f>
        <v>362</v>
      </c>
      <c r="D89" s="691">
        <f ca="1">IF(Calc!BN170&lt;$J$3,Calc!BN170,$J$3)</f>
        <v>400</v>
      </c>
      <c r="E89" s="691">
        <f ca="1">IF(Calc!BP170&lt;0,0,IF(Calc!BP170&lt;=$J$6,Calc!BP170,$J$6))</f>
        <v>1396</v>
      </c>
      <c r="F89" s="696">
        <f ca="1">Calc!BL170</f>
        <v>1.5108754285714285</v>
      </c>
      <c r="G89" s="691">
        <f t="shared" ca="1" si="0"/>
        <v>0</v>
      </c>
      <c r="K89" s="691">
        <f ca="1">IF(G89=1,MATCH($K$61,G89:$G$112,0),C89)</f>
        <v>362</v>
      </c>
      <c r="L89" s="716">
        <f t="shared" ca="1" si="1"/>
        <v>362</v>
      </c>
      <c r="M89" s="691">
        <f ca="1">IF(G89=1,MATCH($K$61,G89:$G$112,0),E89)</f>
        <v>1396</v>
      </c>
      <c r="N89" s="716">
        <f t="shared" ca="1" si="2"/>
        <v>1396</v>
      </c>
      <c r="P89" s="690">
        <f t="shared" ca="1" si="3"/>
        <v>136</v>
      </c>
      <c r="Q89" s="692"/>
      <c r="R89" s="690">
        <f t="shared" ca="1" si="4"/>
        <v>677</v>
      </c>
      <c r="S89" s="692"/>
    </row>
    <row r="90" spans="2:19">
      <c r="B90" s="691">
        <f ca="1">IF(Calc!BH171&lt;$J$4,Calc!BH171,$J$4)</f>
        <v>1000</v>
      </c>
      <c r="C90" s="691">
        <f ca="1">IF(Calc!BJ171&lt;0,0,IF(Calc!BJ171&lt;=$J$6,Calc!BJ171,$J$6))</f>
        <v>333</v>
      </c>
      <c r="D90" s="691">
        <f ca="1">IF(Calc!BN171&lt;$J$3,Calc!BN171,$J$3)</f>
        <v>400</v>
      </c>
      <c r="E90" s="691">
        <f ca="1">IF(Calc!BP171&lt;0,0,IF(Calc!BP171&lt;=$J$6,Calc!BP171,$J$6))</f>
        <v>1329</v>
      </c>
      <c r="F90" s="696">
        <f ca="1">Calc!BL171</f>
        <v>1.4547808351648353</v>
      </c>
      <c r="G90" s="691">
        <f t="shared" ca="1" si="0"/>
        <v>0</v>
      </c>
      <c r="K90" s="691">
        <f ca="1">IF(G90=1,MATCH($K$61,G90:$G$112,0),C90)</f>
        <v>333</v>
      </c>
      <c r="L90" s="716">
        <f t="shared" ca="1" si="1"/>
        <v>333</v>
      </c>
      <c r="M90" s="691">
        <f ca="1">IF(G90=1,MATCH($K$61,G90:$G$112,0),E90)</f>
        <v>1329</v>
      </c>
      <c r="N90" s="716">
        <f t="shared" ca="1" si="2"/>
        <v>1329</v>
      </c>
      <c r="P90" s="690">
        <f t="shared" ca="1" si="3"/>
        <v>129</v>
      </c>
      <c r="Q90" s="692"/>
      <c r="R90" s="690">
        <f t="shared" ca="1" si="4"/>
        <v>668</v>
      </c>
      <c r="S90" s="692"/>
    </row>
    <row r="91" spans="2:19">
      <c r="B91" s="691">
        <f ca="1">IF(Calc!BH172&lt;$J$4,Calc!BH172,$J$4)</f>
        <v>1000</v>
      </c>
      <c r="C91" s="691">
        <f ca="1">IF(Calc!BJ172&lt;0,0,IF(Calc!BJ172&lt;=$J$6,Calc!BJ172,$J$6))</f>
        <v>304</v>
      </c>
      <c r="D91" s="691">
        <f ca="1">IF(Calc!BN172&lt;$J$3,Calc!BN172,$J$3)</f>
        <v>400</v>
      </c>
      <c r="E91" s="691">
        <f ca="1">IF(Calc!BP172&lt;0,0,IF(Calc!BP172&lt;=$J$6,Calc!BP172,$J$6))</f>
        <v>1262</v>
      </c>
      <c r="F91" s="696">
        <f ca="1">Calc!BL172</f>
        <v>1.398089846153846</v>
      </c>
      <c r="G91" s="691">
        <f t="shared" ca="1" si="0"/>
        <v>0</v>
      </c>
      <c r="K91" s="691">
        <f ca="1">IF(G91=1,MATCH($K$61,G91:$G$112,0),C91)</f>
        <v>304</v>
      </c>
      <c r="L91" s="716">
        <f t="shared" ca="1" si="1"/>
        <v>304</v>
      </c>
      <c r="M91" s="691">
        <f ca="1">IF(G91=1,MATCH($K$61,G91:$G$112,0),E91)</f>
        <v>1262</v>
      </c>
      <c r="N91" s="716">
        <f t="shared" ca="1" si="2"/>
        <v>1262</v>
      </c>
      <c r="P91" s="690">
        <f t="shared" ca="1" si="3"/>
        <v>122</v>
      </c>
      <c r="Q91" s="692"/>
      <c r="R91" s="690">
        <f t="shared" ca="1" si="4"/>
        <v>659</v>
      </c>
      <c r="S91" s="692"/>
    </row>
    <row r="92" spans="2:19">
      <c r="B92" s="691">
        <f ca="1">IF(Calc!BH173&lt;$J$4,Calc!BH173,$J$4)</f>
        <v>1000</v>
      </c>
      <c r="C92" s="691">
        <f ca="1">IF(Calc!BJ173&lt;0,0,IF(Calc!BJ173&lt;=$J$6,Calc!BJ173,$J$6))</f>
        <v>275</v>
      </c>
      <c r="D92" s="691">
        <f ca="1">IF(Calc!BN173&lt;$J$3,Calc!BN173,$J$3)</f>
        <v>400</v>
      </c>
      <c r="E92" s="691">
        <f ca="1">IF(Calc!BP173&lt;0,0,IF(Calc!BP173&lt;=$J$6,Calc!BP173,$J$6))</f>
        <v>1194</v>
      </c>
      <c r="F92" s="696">
        <f ca="1">Calc!BL173</f>
        <v>1.3408024615384615</v>
      </c>
      <c r="G92" s="691">
        <f t="shared" ca="1" si="0"/>
        <v>0</v>
      </c>
      <c r="K92" s="691">
        <f ca="1">IF(G92=1,MATCH($K$61,G92:$G$112,0),C92)</f>
        <v>275</v>
      </c>
      <c r="L92" s="716">
        <f t="shared" ca="1" si="1"/>
        <v>275</v>
      </c>
      <c r="M92" s="691">
        <f ca="1">IF(G92=1,MATCH($K$61,G92:$G$112,0),E92)</f>
        <v>1194</v>
      </c>
      <c r="N92" s="716">
        <f t="shared" ca="1" si="2"/>
        <v>1194</v>
      </c>
      <c r="P92" s="690">
        <f t="shared" ca="1" si="3"/>
        <v>116</v>
      </c>
      <c r="Q92" s="692"/>
      <c r="R92" s="690">
        <f t="shared" ca="1" si="4"/>
        <v>650</v>
      </c>
      <c r="S92" s="692"/>
    </row>
    <row r="93" spans="2:19">
      <c r="B93" s="691">
        <f ca="1">IF(Calc!BH174&lt;$J$4,Calc!BH174,$J$4)</f>
        <v>1000</v>
      </c>
      <c r="C93" s="691">
        <f ca="1">IF(Calc!BJ174&lt;0,0,IF(Calc!BJ174&lt;=$J$6,Calc!BJ174,$J$6))</f>
        <v>248</v>
      </c>
      <c r="D93" s="691">
        <f ca="1">IF(Calc!BN174&lt;$J$3,Calc!BN174,$J$3)</f>
        <v>400</v>
      </c>
      <c r="E93" s="691">
        <f ca="1">IF(Calc!BP174&lt;0,0,IF(Calc!BP174&lt;=$J$6,Calc!BP174,$J$6))</f>
        <v>1128</v>
      </c>
      <c r="F93" s="696">
        <f ca="1">Calc!BL174</f>
        <v>1.2829186813186786</v>
      </c>
      <c r="G93" s="691">
        <f t="shared" ca="1" si="0"/>
        <v>0</v>
      </c>
      <c r="K93" s="691">
        <f ca="1">IF(G93=1,MATCH($K$61,G93:$G$112,0),C93)</f>
        <v>248</v>
      </c>
      <c r="L93" s="716">
        <f t="shared" ca="1" si="1"/>
        <v>248</v>
      </c>
      <c r="M93" s="691">
        <f ca="1">IF(G93=1,MATCH($K$61,G93:$G$112,0),E93)</f>
        <v>1128</v>
      </c>
      <c r="N93" s="716">
        <f t="shared" ca="1" si="2"/>
        <v>1128</v>
      </c>
      <c r="P93" s="690">
        <f t="shared" ca="1" si="3"/>
        <v>109</v>
      </c>
      <c r="Q93" s="692"/>
      <c r="R93" s="690">
        <f t="shared" ca="1" si="4"/>
        <v>641</v>
      </c>
      <c r="S93" s="692"/>
    </row>
    <row r="94" spans="2:19">
      <c r="B94" s="691">
        <f ca="1">IF(Calc!BH175&lt;$J$4,Calc!BH175,$J$4)</f>
        <v>1000</v>
      </c>
      <c r="C94" s="691">
        <f ca="1">IF(Calc!BJ175&lt;0,0,IF(Calc!BJ175&lt;=$J$6,Calc!BJ175,$J$6))</f>
        <v>222</v>
      </c>
      <c r="D94" s="691">
        <f ca="1">IF(Calc!BN175&lt;$J$3,Calc!BN175,$J$3)</f>
        <v>400</v>
      </c>
      <c r="E94" s="691">
        <f ca="1">IF(Calc!BP175&lt;0,0,IF(Calc!BP175&lt;=$J$6,Calc!BP175,$J$6))</f>
        <v>1062</v>
      </c>
      <c r="F94" s="696">
        <f ca="1">Calc!BL175</f>
        <v>1.2244385054945026</v>
      </c>
      <c r="G94" s="691">
        <f t="shared" ref="G94:G112" ca="1" si="5">IF(AND(F94&gt;$F$59,G93&lt;&gt;0),1,0)</f>
        <v>0</v>
      </c>
      <c r="K94" s="691">
        <f ca="1">IF(G94=1,MATCH($K$61,G94:$G$112,0),C94)</f>
        <v>222</v>
      </c>
      <c r="L94" s="716">
        <f t="shared" ca="1" si="1"/>
        <v>222</v>
      </c>
      <c r="M94" s="691">
        <f ca="1">IF(G94=1,MATCH($K$61,G94:$G$112,0),E94)</f>
        <v>1062</v>
      </c>
      <c r="N94" s="716">
        <f t="shared" ca="1" si="2"/>
        <v>1062</v>
      </c>
      <c r="P94" s="690">
        <f t="shared" ca="1" si="3"/>
        <v>103</v>
      </c>
      <c r="Q94" s="692"/>
      <c r="R94" s="690">
        <f t="shared" ca="1" si="4"/>
        <v>632</v>
      </c>
      <c r="S94" s="692"/>
    </row>
    <row r="95" spans="2:19">
      <c r="B95" s="691">
        <f ca="1">IF(Calc!BH176&lt;$J$4,Calc!BH176,$J$4)</f>
        <v>1000</v>
      </c>
      <c r="C95" s="691">
        <f ca="1">IF(Calc!BJ176&lt;0,0,IF(Calc!BJ176&lt;=$J$6,Calc!BJ176,$J$6))</f>
        <v>195</v>
      </c>
      <c r="D95" s="691">
        <f ca="1">IF(Calc!BN176&lt;$J$3,Calc!BN176,$J$3)</f>
        <v>400</v>
      </c>
      <c r="E95" s="691">
        <f ca="1">IF(Calc!BP176&lt;0,0,IF(Calc!BP176&lt;=$J$6,Calc!BP176,$J$6))</f>
        <v>995</v>
      </c>
      <c r="F95" s="696">
        <f ca="1">Calc!BL176</f>
        <v>1.1653619340659311</v>
      </c>
      <c r="G95" s="691">
        <f t="shared" ca="1" si="5"/>
        <v>0</v>
      </c>
      <c r="K95" s="691">
        <f ca="1">IF(G95=1,MATCH($K$61,G95:$G$112,0),C95)</f>
        <v>195</v>
      </c>
      <c r="L95" s="716">
        <f t="shared" ca="1" si="1"/>
        <v>195</v>
      </c>
      <c r="M95" s="691">
        <f ca="1">IF(G95=1,MATCH($K$61,G95:$G$112,0),E95)</f>
        <v>995</v>
      </c>
      <c r="N95" s="716">
        <f t="shared" ca="1" si="2"/>
        <v>995</v>
      </c>
      <c r="P95" s="690">
        <f t="shared" ca="1" si="3"/>
        <v>96</v>
      </c>
      <c r="Q95" s="692"/>
      <c r="R95" s="690">
        <f t="shared" ca="1" si="4"/>
        <v>622</v>
      </c>
      <c r="S95" s="692"/>
    </row>
    <row r="96" spans="2:19">
      <c r="B96" s="691">
        <f ca="1">IF(Calc!BH177&lt;$J$4,Calc!BH177,$J$4)</f>
        <v>1000</v>
      </c>
      <c r="C96" s="691">
        <f ca="1">IF(Calc!BJ177&lt;0,0,IF(Calc!BJ177&lt;=$J$6,Calc!BJ177,$J$6))</f>
        <v>168</v>
      </c>
      <c r="D96" s="691">
        <f ca="1">IF(Calc!BN177&lt;$J$3,Calc!BN177,$J$3)</f>
        <v>400</v>
      </c>
      <c r="E96" s="691">
        <f ca="1">IF(Calc!BP177&lt;0,0,IF(Calc!BP177&lt;=$J$6,Calc!BP177,$J$6))</f>
        <v>927</v>
      </c>
      <c r="F96" s="696">
        <f ca="1">Calc!BL177</f>
        <v>1.1056889670329642</v>
      </c>
      <c r="G96" s="691">
        <f t="shared" ca="1" si="5"/>
        <v>0</v>
      </c>
      <c r="K96" s="691">
        <f ca="1">IF(G96=1,MATCH($K$61,G96:$G$112,0),C96)</f>
        <v>168</v>
      </c>
      <c r="L96" s="716">
        <f t="shared" ca="1" si="1"/>
        <v>168</v>
      </c>
      <c r="M96" s="691">
        <f ca="1">IF(G96=1,MATCH($K$61,G96:$G$112,0),E96)</f>
        <v>927</v>
      </c>
      <c r="N96" s="716">
        <f t="shared" ca="1" si="2"/>
        <v>927</v>
      </c>
      <c r="P96" s="690">
        <f t="shared" ca="1" si="3"/>
        <v>89</v>
      </c>
      <c r="Q96" s="692"/>
      <c r="R96" s="690">
        <f t="shared" ca="1" si="4"/>
        <v>613</v>
      </c>
      <c r="S96" s="692"/>
    </row>
    <row r="97" spans="2:19">
      <c r="B97" s="691">
        <f ca="1">IF(Calc!BH178&lt;$J$4,Calc!BH178,$J$4)</f>
        <v>1000</v>
      </c>
      <c r="C97" s="691">
        <f ca="1">IF(Calc!BJ178&lt;0,0,IF(Calc!BJ178&lt;=$J$6,Calc!BJ178,$J$6))</f>
        <v>141</v>
      </c>
      <c r="D97" s="691">
        <f ca="1">IF(Calc!BN178&lt;$J$3,Calc!BN178,$J$3)</f>
        <v>400</v>
      </c>
      <c r="E97" s="691">
        <f ca="1">IF(Calc!BP178&lt;0,0,IF(Calc!BP178&lt;=$J$6,Calc!BP178,$J$6))</f>
        <v>859</v>
      </c>
      <c r="F97" s="696">
        <f ca="1">Calc!BL178</f>
        <v>1.0454196043956014</v>
      </c>
      <c r="G97" s="691">
        <f t="shared" ca="1" si="5"/>
        <v>0</v>
      </c>
      <c r="K97" s="691">
        <f ca="1">IF(G97=1,MATCH($K$61,G97:$G$112,0),C97)</f>
        <v>141</v>
      </c>
      <c r="L97" s="716">
        <f t="shared" ca="1" si="1"/>
        <v>141</v>
      </c>
      <c r="M97" s="691">
        <f ca="1">IF(G97=1,MATCH($K$61,G97:$G$112,0),E97)</f>
        <v>859</v>
      </c>
      <c r="N97" s="716">
        <f t="shared" ca="1" si="2"/>
        <v>859</v>
      </c>
      <c r="P97" s="690">
        <f t="shared" ca="1" si="3"/>
        <v>83</v>
      </c>
      <c r="Q97" s="692"/>
      <c r="R97" s="690">
        <f t="shared" ca="1" si="4"/>
        <v>604</v>
      </c>
      <c r="S97" s="692"/>
    </row>
    <row r="98" spans="2:19">
      <c r="B98" s="691">
        <f ca="1">IF(Calc!BH179&lt;$J$4,Calc!BH179,$J$4)</f>
        <v>1000</v>
      </c>
      <c r="C98" s="691">
        <f ca="1">IF(Calc!BJ179&lt;0,0,IF(Calc!BJ179&lt;=$J$6,Calc!BJ179,$J$6))</f>
        <v>113</v>
      </c>
      <c r="D98" s="691">
        <f ca="1">IF(Calc!BN179&lt;$J$3,Calc!BN179,$J$3)</f>
        <v>400</v>
      </c>
      <c r="E98" s="691">
        <f ca="1">IF(Calc!BP179&lt;0,0,IF(Calc!BP179&lt;=$J$6,Calc!BP179,$J$6))</f>
        <v>790</v>
      </c>
      <c r="F98" s="696">
        <f ca="1">Calc!BL179</f>
        <v>0.98455384615384289</v>
      </c>
      <c r="G98" s="691">
        <f t="shared" ca="1" si="5"/>
        <v>0</v>
      </c>
      <c r="K98" s="691">
        <f ca="1">IF(G98=1,MATCH($K$61,G98:$G$112,0),C98)</f>
        <v>113</v>
      </c>
      <c r="L98" s="716">
        <f t="shared" ca="1" si="1"/>
        <v>113</v>
      </c>
      <c r="M98" s="691">
        <f ca="1">IF(G98=1,MATCH($K$61,G98:$G$112,0),E98)</f>
        <v>790</v>
      </c>
      <c r="N98" s="716">
        <f t="shared" ca="1" si="2"/>
        <v>790</v>
      </c>
      <c r="P98" s="690">
        <f t="shared" ca="1" si="3"/>
        <v>76</v>
      </c>
      <c r="Q98" s="692"/>
      <c r="R98" s="690">
        <f t="shared" ca="1" si="4"/>
        <v>595</v>
      </c>
      <c r="S98" s="692"/>
    </row>
    <row r="99" spans="2:19">
      <c r="B99" s="691">
        <f ca="1">IF(Calc!BH180&lt;$J$4,Calc!BH180,$J$4)</f>
        <v>1000</v>
      </c>
      <c r="C99" s="691">
        <f ca="1">IF(Calc!BJ180&lt;0,0,IF(Calc!BJ180&lt;=$J$6,Calc!BJ180,$J$6))</f>
        <v>85</v>
      </c>
      <c r="D99" s="691">
        <f ca="1">IF(Calc!BN180&lt;$J$3,Calc!BN180,$J$3)</f>
        <v>400</v>
      </c>
      <c r="E99" s="691">
        <f ca="1">IF(Calc!BP180&lt;0,0,IF(Calc!BP180&lt;=$J$6,Calc!BP180,$J$6))</f>
        <v>721</v>
      </c>
      <c r="F99" s="696">
        <f ca="1">Calc!BL180</f>
        <v>0.92309169230768928</v>
      </c>
      <c r="G99" s="691">
        <f t="shared" ca="1" si="5"/>
        <v>0</v>
      </c>
      <c r="K99" s="691">
        <f ca="1">IF(G99=1,MATCH($K$61,G99:$G$112,0),C99)</f>
        <v>85</v>
      </c>
      <c r="L99" s="716">
        <f t="shared" ca="1" si="1"/>
        <v>85</v>
      </c>
      <c r="M99" s="691">
        <f ca="1">IF(G99=1,MATCH($K$61,G99:$G$112,0),E99)</f>
        <v>721</v>
      </c>
      <c r="N99" s="716">
        <f t="shared" ca="1" si="2"/>
        <v>721</v>
      </c>
      <c r="P99" s="690">
        <f t="shared" ca="1" si="3"/>
        <v>70</v>
      </c>
      <c r="Q99" s="692"/>
      <c r="R99" s="690">
        <f t="shared" ca="1" si="4"/>
        <v>586</v>
      </c>
      <c r="S99" s="692"/>
    </row>
    <row r="100" spans="2:19">
      <c r="B100" s="691">
        <f ca="1">IF(Calc!BH181&lt;$J$4,Calc!BH181,$J$4)</f>
        <v>1000</v>
      </c>
      <c r="C100" s="691">
        <f ca="1">IF(Calc!BJ181&lt;0,0,IF(Calc!BJ181&lt;=$J$6,Calc!BJ181,$J$6))</f>
        <v>57</v>
      </c>
      <c r="D100" s="691">
        <f ca="1">IF(Calc!BN181&lt;$J$3,Calc!BN181,$J$3)</f>
        <v>400</v>
      </c>
      <c r="E100" s="691">
        <f ca="1">IF(Calc!BP181&lt;0,0,IF(Calc!BP181&lt;=$J$6,Calc!BP181,$J$6))</f>
        <v>651</v>
      </c>
      <c r="F100" s="696">
        <f ca="1">Calc!BL181</f>
        <v>0.86103314285713972</v>
      </c>
      <c r="G100" s="691">
        <f t="shared" ca="1" si="5"/>
        <v>0</v>
      </c>
      <c r="K100" s="691">
        <f ca="1">IF(G100=1,MATCH($K$61,G100:$G$112,0),C100)</f>
        <v>57</v>
      </c>
      <c r="L100" s="716">
        <f t="shared" ca="1" si="1"/>
        <v>57</v>
      </c>
      <c r="M100" s="691">
        <f ca="1">IF(G100=1,MATCH($K$61,G100:$G$112,0),E100)</f>
        <v>651</v>
      </c>
      <c r="N100" s="716">
        <f t="shared" ca="1" si="2"/>
        <v>651</v>
      </c>
      <c r="P100" s="690">
        <f t="shared" ca="1" si="3"/>
        <v>57</v>
      </c>
      <c r="Q100" s="692"/>
      <c r="R100" s="690">
        <f t="shared" ca="1" si="4"/>
        <v>577</v>
      </c>
      <c r="S100" s="692"/>
    </row>
    <row r="101" spans="2:19">
      <c r="B101" s="691">
        <f ca="1">IF(Calc!BH182&lt;$J$4,Calc!BH182,$J$4)</f>
        <v>1000</v>
      </c>
      <c r="C101" s="691">
        <f ca="1">IF(Calc!BJ182&lt;0,0,IF(Calc!BJ182&lt;=$J$6,Calc!BJ182,$J$6))</f>
        <v>29</v>
      </c>
      <c r="D101" s="691">
        <f ca="1">IF(Calc!BN182&lt;$J$3,Calc!BN182,$J$3)</f>
        <v>400</v>
      </c>
      <c r="E101" s="691">
        <f ca="1">IF(Calc!BP182&lt;0,0,IF(Calc!BP182&lt;=$J$6,Calc!BP182,$J$6))</f>
        <v>580</v>
      </c>
      <c r="F101" s="696">
        <f ca="1">Calc!BL182</f>
        <v>0.79837819780219466</v>
      </c>
      <c r="G101" s="691">
        <f t="shared" ca="1" si="5"/>
        <v>0</v>
      </c>
      <c r="K101" s="691">
        <f ca="1">IF(G101=1,MATCH($K$61,G101:$G$112,0),C101)</f>
        <v>29</v>
      </c>
      <c r="L101" s="716">
        <f t="shared" ca="1" si="1"/>
        <v>29</v>
      </c>
      <c r="M101" s="691">
        <f ca="1">IF(G101=1,MATCH($K$61,G101:$G$112,0),E101)</f>
        <v>580</v>
      </c>
      <c r="N101" s="716">
        <f t="shared" ca="1" si="2"/>
        <v>580</v>
      </c>
      <c r="P101" s="690">
        <f t="shared" ca="1" si="3"/>
        <v>29</v>
      </c>
      <c r="Q101" s="692"/>
      <c r="R101" s="690">
        <f t="shared" ca="1" si="4"/>
        <v>568</v>
      </c>
      <c r="S101" s="692"/>
    </row>
    <row r="102" spans="2:19">
      <c r="B102" s="691">
        <f ca="1">IF(Calc!BH183&lt;$J$4,Calc!BH183,$J$4)</f>
        <v>1000</v>
      </c>
      <c r="C102" s="691">
        <f ca="1">IF(Calc!BJ183&lt;0,0,IF(Calc!BJ183&lt;=$J$6,Calc!BJ183,$J$6))</f>
        <v>0</v>
      </c>
      <c r="D102" s="691">
        <f ca="1">IF(Calc!BN183&lt;$J$3,Calc!BN183,$J$3)</f>
        <v>400</v>
      </c>
      <c r="E102" s="691">
        <f ca="1">IF(Calc!BP183&lt;0,0,IF(Calc!BP183&lt;=$J$6,Calc!BP183,$J$6))</f>
        <v>508</v>
      </c>
      <c r="F102" s="696">
        <f ca="1">Calc!BL183</f>
        <v>0.73512685714285386</v>
      </c>
      <c r="G102" s="691">
        <f t="shared" ca="1" si="5"/>
        <v>0</v>
      </c>
      <c r="K102" s="691">
        <f ca="1">IF(G102=1,MATCH($K$61,G102:$G$112,0),C102)</f>
        <v>0</v>
      </c>
      <c r="L102" s="716">
        <f t="shared" ca="1" si="1"/>
        <v>0</v>
      </c>
      <c r="M102" s="691">
        <f ca="1">IF(G102=1,MATCH($K$61,G102:$G$112,0),E102)</f>
        <v>508</v>
      </c>
      <c r="N102" s="716">
        <f t="shared" ca="1" si="2"/>
        <v>508</v>
      </c>
      <c r="P102" s="690">
        <f t="shared" ca="1" si="3"/>
        <v>0</v>
      </c>
      <c r="Q102" s="692"/>
      <c r="R102" s="690">
        <f t="shared" ca="1" si="4"/>
        <v>508</v>
      </c>
      <c r="S102" s="692"/>
    </row>
    <row r="103" spans="2:19">
      <c r="B103" s="691">
        <f ca="1">IF(Calc!BH184&lt;$J$4,Calc!BH184,$J$4)</f>
        <v>1000</v>
      </c>
      <c r="C103" s="691">
        <f ca="1">IF(Calc!BJ184&lt;0,0,IF(Calc!BJ184&lt;=$J$6,Calc!BJ184,$J$6))</f>
        <v>0</v>
      </c>
      <c r="D103" s="691">
        <f ca="1">IF(Calc!BN184&lt;$J$3,Calc!BN184,$J$3)</f>
        <v>400</v>
      </c>
      <c r="E103" s="691">
        <f ca="1">IF(Calc!BP184&lt;0,0,IF(Calc!BP184&lt;=$J$6,Calc!BP184,$J$6))</f>
        <v>436</v>
      </c>
      <c r="F103" s="696">
        <f ca="1">Calc!BL184</f>
        <v>0.67127912087911767</v>
      </c>
      <c r="G103" s="691">
        <f t="shared" ca="1" si="5"/>
        <v>0</v>
      </c>
      <c r="K103" s="691">
        <f ca="1">IF(G103=1,MATCH($K$61,G103:$G$112,0),C103)</f>
        <v>0</v>
      </c>
      <c r="L103" s="716">
        <f t="shared" ca="1" si="1"/>
        <v>0</v>
      </c>
      <c r="M103" s="691">
        <f ca="1">IF(G103=1,MATCH($K$61,G103:$G$112,0),E103)</f>
        <v>436</v>
      </c>
      <c r="N103" s="716">
        <f t="shared" ca="1" si="2"/>
        <v>436</v>
      </c>
      <c r="P103" s="690">
        <f t="shared" ca="1" si="3"/>
        <v>0</v>
      </c>
      <c r="Q103" s="692"/>
      <c r="R103" s="690">
        <f t="shared" ca="1" si="4"/>
        <v>436</v>
      </c>
      <c r="S103" s="692"/>
    </row>
    <row r="104" spans="2:19">
      <c r="B104" s="691">
        <f ca="1">IF(Calc!BH185&lt;$J$4,Calc!BH185,$J$4)</f>
        <v>1000</v>
      </c>
      <c r="C104" s="691">
        <f ca="1">IF(Calc!BJ185&lt;0,0,IF(Calc!BJ185&lt;=$J$6,Calc!BJ185,$J$6))</f>
        <v>0</v>
      </c>
      <c r="D104" s="691">
        <f ca="1">IF(Calc!BN185&lt;$J$3,Calc!BN185,$J$3)</f>
        <v>400</v>
      </c>
      <c r="E104" s="691">
        <f ca="1">IF(Calc!BP185&lt;0,0,IF(Calc!BP185&lt;=$J$6,Calc!BP185,$J$6))</f>
        <v>363</v>
      </c>
      <c r="F104" s="696">
        <f ca="1">Calc!BL185</f>
        <v>0.60683498901098565</v>
      </c>
      <c r="G104" s="691">
        <f t="shared" ca="1" si="5"/>
        <v>0</v>
      </c>
      <c r="K104" s="691">
        <f ca="1">IF(G104=1,MATCH($K$61,G104:$G$112,0),C104)</f>
        <v>0</v>
      </c>
      <c r="L104" s="716">
        <f t="shared" ca="1" si="1"/>
        <v>0</v>
      </c>
      <c r="M104" s="691">
        <f ca="1">IF(G104=1,MATCH($K$61,G104:$G$112,0),E104)</f>
        <v>363</v>
      </c>
      <c r="N104" s="716">
        <f t="shared" ca="1" si="2"/>
        <v>363</v>
      </c>
      <c r="P104" s="690">
        <f t="shared" ca="1" si="3"/>
        <v>0</v>
      </c>
      <c r="Q104" s="692"/>
      <c r="R104" s="690">
        <f t="shared" ca="1" si="4"/>
        <v>363</v>
      </c>
      <c r="S104" s="692"/>
    </row>
    <row r="105" spans="2:19">
      <c r="B105" s="691">
        <f ca="1">IF(Calc!BH186&lt;$J$4,Calc!BH186,$J$4)</f>
        <v>1000</v>
      </c>
      <c r="C105" s="691">
        <f ca="1">IF(Calc!BJ186&lt;0,0,IF(Calc!BJ186&lt;=$J$6,Calc!BJ186,$J$6))</f>
        <v>0</v>
      </c>
      <c r="D105" s="691">
        <f ca="1">IF(Calc!BN186&lt;$J$3,Calc!BN186,$J$3)</f>
        <v>400</v>
      </c>
      <c r="E105" s="691">
        <f ca="1">IF(Calc!BP186&lt;0,0,IF(Calc!BP186&lt;=$J$6,Calc!BP186,$J$6))</f>
        <v>290</v>
      </c>
      <c r="F105" s="696">
        <f ca="1">Calc!BL186</f>
        <v>0.54179446153845823</v>
      </c>
      <c r="G105" s="691">
        <f t="shared" ca="1" si="5"/>
        <v>0</v>
      </c>
      <c r="K105" s="691">
        <f ca="1">IF(G105=1,MATCH($K$61,G105:$G$112,0),C105)</f>
        <v>0</v>
      </c>
      <c r="L105" s="716">
        <f t="shared" ca="1" si="1"/>
        <v>0</v>
      </c>
      <c r="M105" s="691">
        <f ca="1">IF(G105=1,MATCH($K$61,G105:$G$112,0),E105)</f>
        <v>290</v>
      </c>
      <c r="N105" s="716">
        <f t="shared" ca="1" si="2"/>
        <v>290</v>
      </c>
      <c r="P105" s="690">
        <f t="shared" ca="1" si="3"/>
        <v>0</v>
      </c>
      <c r="Q105" s="692"/>
      <c r="R105" s="690">
        <f t="shared" ca="1" si="4"/>
        <v>290</v>
      </c>
      <c r="S105" s="692"/>
    </row>
    <row r="106" spans="2:19">
      <c r="B106" s="691">
        <f ca="1">IF(Calc!BH187&lt;$J$4,Calc!BH187,$J$4)</f>
        <v>1000</v>
      </c>
      <c r="C106" s="691">
        <f ca="1">IF(Calc!BJ187&lt;0,0,IF(Calc!BJ187&lt;=$J$6,Calc!BJ187,$J$6))</f>
        <v>0</v>
      </c>
      <c r="D106" s="691">
        <f ca="1">IF(Calc!BN187&lt;$J$3,Calc!BN187,$J$3)</f>
        <v>400</v>
      </c>
      <c r="E106" s="691">
        <f ca="1">IF(Calc!BP187&lt;0,0,IF(Calc!BP187&lt;=$J$6,Calc!BP187,$J$6))</f>
        <v>215</v>
      </c>
      <c r="F106" s="696">
        <f ca="1">Calc!BL187</f>
        <v>0.47615753846153508</v>
      </c>
      <c r="G106" s="691">
        <f t="shared" ca="1" si="5"/>
        <v>0</v>
      </c>
      <c r="K106" s="691">
        <f ca="1">IF(G106=1,MATCH($K$61,G106:$G$112,0),C106)</f>
        <v>0</v>
      </c>
      <c r="L106" s="716">
        <f t="shared" ca="1" si="1"/>
        <v>0</v>
      </c>
      <c r="M106" s="691">
        <f ca="1">IF(G106=1,MATCH($K$61,G106:$G$112,0),E106)</f>
        <v>215</v>
      </c>
      <c r="N106" s="716">
        <f t="shared" ca="1" si="2"/>
        <v>215</v>
      </c>
      <c r="P106" s="690">
        <f t="shared" ca="1" si="3"/>
        <v>0</v>
      </c>
      <c r="Q106" s="692"/>
      <c r="R106" s="690">
        <f t="shared" ca="1" si="4"/>
        <v>215</v>
      </c>
      <c r="S106" s="692"/>
    </row>
    <row r="107" spans="2:19">
      <c r="B107" s="691">
        <f ca="1">IF(Calc!BH188&lt;$J$4,Calc!BH188,$J$4)</f>
        <v>1000</v>
      </c>
      <c r="C107" s="691">
        <f ca="1">IF(Calc!BJ188&lt;0,0,IF(Calc!BJ188&lt;=$J$6,Calc!BJ188,$J$6))</f>
        <v>0</v>
      </c>
      <c r="D107" s="691">
        <f ca="1">IF(Calc!BN188&lt;$J$3,Calc!BN188,$J$3)</f>
        <v>400</v>
      </c>
      <c r="E107" s="691">
        <f ca="1">IF(Calc!BP188&lt;0,0,IF(Calc!BP188&lt;=$J$6,Calc!BP188,$J$6))</f>
        <v>141</v>
      </c>
      <c r="F107" s="696">
        <f ca="1">Calc!BL188</f>
        <v>0.40992421978021643</v>
      </c>
      <c r="G107" s="691">
        <f t="shared" ca="1" si="5"/>
        <v>0</v>
      </c>
      <c r="K107" s="691">
        <f ca="1">IF(G107=1,MATCH($K$61,G107:$G$112,0),C107)</f>
        <v>0</v>
      </c>
      <c r="L107" s="716">
        <f t="shared" ca="1" si="1"/>
        <v>0</v>
      </c>
      <c r="M107" s="691">
        <f ca="1">IF(G107=1,MATCH($K$61,G107:$G$112,0),E107)</f>
        <v>141</v>
      </c>
      <c r="N107" s="716">
        <f t="shared" ca="1" si="2"/>
        <v>141</v>
      </c>
      <c r="P107" s="690">
        <f t="shared" ca="1" si="3"/>
        <v>0</v>
      </c>
      <c r="Q107" s="692"/>
      <c r="R107" s="690">
        <f t="shared" ca="1" si="4"/>
        <v>141</v>
      </c>
      <c r="S107" s="692"/>
    </row>
    <row r="108" spans="2:19">
      <c r="B108" s="691">
        <f ca="1">IF(Calc!BH189&lt;$J$4,Calc!BH189,$J$4)</f>
        <v>1000</v>
      </c>
      <c r="C108" s="691">
        <f ca="1">IF(Calc!BJ189&lt;0,0,IF(Calc!BJ189&lt;=$J$6,Calc!BJ189,$J$6))</f>
        <v>0</v>
      </c>
      <c r="D108" s="691">
        <f ca="1">IF(Calc!BN189&lt;$J$3,Calc!BN189,$J$3)</f>
        <v>400</v>
      </c>
      <c r="E108" s="691">
        <f ca="1">IF(Calc!BP189&lt;0,0,IF(Calc!BP189&lt;=$J$6,Calc!BP189,$J$6))</f>
        <v>65</v>
      </c>
      <c r="F108" s="696">
        <f ca="1">Calc!BL189</f>
        <v>0.3430945054945021</v>
      </c>
      <c r="G108" s="691">
        <f t="shared" ca="1" si="5"/>
        <v>0</v>
      </c>
      <c r="K108" s="691">
        <f ca="1">IF(G108=1,MATCH($K$61,G108:$G$112,0),C108)</f>
        <v>0</v>
      </c>
      <c r="L108" s="716">
        <f t="shared" ca="1" si="1"/>
        <v>0</v>
      </c>
      <c r="M108" s="691">
        <f ca="1">IF(G108=1,MATCH($K$61,G108:$G$112,0),E108)</f>
        <v>65</v>
      </c>
      <c r="N108" s="716">
        <f t="shared" ca="1" si="2"/>
        <v>65</v>
      </c>
      <c r="P108" s="690">
        <f t="shared" ca="1" si="3"/>
        <v>0</v>
      </c>
      <c r="Q108" s="692"/>
      <c r="R108" s="690">
        <f t="shared" ca="1" si="4"/>
        <v>65</v>
      </c>
      <c r="S108" s="692"/>
    </row>
    <row r="109" spans="2:19">
      <c r="B109" s="691">
        <f ca="1">IF(Calc!BH190&lt;$J$4,Calc!BH190,$J$4)</f>
        <v>1000</v>
      </c>
      <c r="C109" s="691">
        <f ca="1">IF(Calc!BJ190&lt;0,0,IF(Calc!BJ190&lt;=$J$6,Calc!BJ190,$J$6))</f>
        <v>0</v>
      </c>
      <c r="D109" s="691">
        <f ca="1">IF(Calc!BN190&lt;$J$3,Calc!BN190,$J$3)</f>
        <v>400</v>
      </c>
      <c r="E109" s="691">
        <f ca="1">IF(Calc!BP190&lt;0,0,IF(Calc!BP190&lt;=$J$6,Calc!BP190,$J$6))</f>
        <v>0</v>
      </c>
      <c r="F109" s="696">
        <f ca="1">Calc!BL190</f>
        <v>0.27566839560439221</v>
      </c>
      <c r="G109" s="691">
        <f t="shared" ca="1" si="5"/>
        <v>0</v>
      </c>
      <c r="K109" s="691">
        <f ca="1">IF(G109=1,MATCH($K$61,G109:$G$112,0),C109)</f>
        <v>0</v>
      </c>
      <c r="L109" s="716">
        <f t="shared" ca="1" si="1"/>
        <v>0</v>
      </c>
      <c r="M109" s="691">
        <f ca="1">IF(G109=1,MATCH($K$61,G109:$G$112,0),E109)</f>
        <v>0</v>
      </c>
      <c r="N109" s="716">
        <f t="shared" ca="1" si="2"/>
        <v>0</v>
      </c>
      <c r="P109" s="690">
        <f t="shared" ca="1" si="3"/>
        <v>0</v>
      </c>
      <c r="Q109" s="692"/>
      <c r="R109" s="690">
        <f t="shared" ca="1" si="4"/>
        <v>0</v>
      </c>
      <c r="S109" s="692"/>
    </row>
    <row r="110" spans="2:19">
      <c r="B110" s="691">
        <f ca="1">IF(Calc!BH191&lt;$J$4,Calc!BH191,$J$4)</f>
        <v>1000</v>
      </c>
      <c r="C110" s="691">
        <f ca="1">IF(Calc!BJ191&lt;0,0,IF(Calc!BJ191&lt;=$J$6,Calc!BJ191,$J$6))</f>
        <v>0</v>
      </c>
      <c r="D110" s="691">
        <f ca="1">IF(Calc!BN191&lt;$J$3,Calc!BN191,$J$3)</f>
        <v>400</v>
      </c>
      <c r="E110" s="691">
        <f ca="1">IF(Calc!BP191&lt;0,0,IF(Calc!BP191&lt;=$J$6,Calc!BP191,$J$6))</f>
        <v>0</v>
      </c>
      <c r="F110" s="696">
        <f ca="1">Calc!BL191</f>
        <v>0.20764589010988635</v>
      </c>
      <c r="G110" s="691">
        <f t="shared" ca="1" si="5"/>
        <v>0</v>
      </c>
      <c r="K110" s="691">
        <f ca="1">IF(G110=1,MATCH($K$61,G110:$G$112,0),C110)</f>
        <v>0</v>
      </c>
      <c r="L110" s="716">
        <f t="shared" ca="1" si="1"/>
        <v>0</v>
      </c>
      <c r="M110" s="691">
        <f ca="1">IF(G110=1,MATCH($K$61,G110:$G$112,0),E110)</f>
        <v>0</v>
      </c>
      <c r="N110" s="716">
        <f t="shared" ca="1" si="2"/>
        <v>0</v>
      </c>
      <c r="P110" s="690">
        <f t="shared" ca="1" si="3"/>
        <v>0</v>
      </c>
      <c r="Q110" s="692"/>
      <c r="R110" s="690">
        <f t="shared" ca="1" si="4"/>
        <v>0</v>
      </c>
      <c r="S110" s="692"/>
    </row>
    <row r="111" spans="2:19">
      <c r="B111" s="691">
        <f ca="1">IF(Calc!BH192&lt;$J$4,Calc!BH192,$J$4)</f>
        <v>1000</v>
      </c>
      <c r="C111" s="691">
        <f ca="1">IF(Calc!BJ192&lt;0,0,IF(Calc!BJ192&lt;=$J$6,Calc!BJ192,$J$6))</f>
        <v>0</v>
      </c>
      <c r="D111" s="691">
        <f ca="1">IF(Calc!BN192&lt;$J$3,Calc!BN192,$J$3)</f>
        <v>400</v>
      </c>
      <c r="E111" s="691">
        <f ca="1">IF(Calc!BP192&lt;0,0,IF(Calc!BP192&lt;=$J$6,Calc!BP192,$J$6))</f>
        <v>0</v>
      </c>
      <c r="F111" s="696">
        <f ca="1">Calc!BL192</f>
        <v>0.13902698901098556</v>
      </c>
      <c r="G111" s="691">
        <f t="shared" ca="1" si="5"/>
        <v>0</v>
      </c>
      <c r="K111" s="691">
        <f ca="1">IF(G111=1,MATCH($K$61,G111:$G$112,0),C111)</f>
        <v>0</v>
      </c>
      <c r="L111" s="716">
        <f t="shared" ca="1" si="1"/>
        <v>0</v>
      </c>
      <c r="M111" s="691">
        <f ca="1">IF(G111=1,MATCH($K$61,G111:$G$112,0),E111)</f>
        <v>0</v>
      </c>
      <c r="N111" s="716">
        <f t="shared" ca="1" si="2"/>
        <v>0</v>
      </c>
      <c r="P111" s="690">
        <f t="shared" ca="1" si="3"/>
        <v>0</v>
      </c>
      <c r="Q111" s="692"/>
      <c r="R111" s="690">
        <f t="shared" ca="1" si="4"/>
        <v>0</v>
      </c>
      <c r="S111" s="692"/>
    </row>
    <row r="112" spans="2:19">
      <c r="B112" s="691">
        <f ca="1">IF(Calc!BH193&lt;$J$4,Calc!BH193,$J$4)</f>
        <v>1000</v>
      </c>
      <c r="C112" s="691">
        <f ca="1">IF(Calc!BJ193&lt;0,0,IF(Calc!BJ193&lt;=$J$6,Calc!BJ193,$J$6))</f>
        <v>0</v>
      </c>
      <c r="D112" s="691">
        <f ca="1">IF(Calc!BN193&lt;$J$3,Calc!BN193,$J$3)</f>
        <v>400</v>
      </c>
      <c r="E112" s="691">
        <f ca="1">IF(Calc!BP193&lt;0,0,IF(Calc!BP193&lt;=$J$6,Calc!BP193,$J$6))</f>
        <v>0</v>
      </c>
      <c r="F112" s="696">
        <f ca="1">Calc!BL193</f>
        <v>6.9811692307688827E-2</v>
      </c>
      <c r="G112" s="691">
        <f t="shared" ca="1" si="5"/>
        <v>0</v>
      </c>
      <c r="K112" s="691">
        <f ca="1">IF(G112=1,MATCH($K$61,G112:$G$112,0),C112)</f>
        <v>0</v>
      </c>
      <c r="L112" s="716">
        <f t="shared" ca="1" si="1"/>
        <v>0</v>
      </c>
      <c r="M112" s="691">
        <f ca="1">IF(G112=1,MATCH($K$61,G112:$G$112,0),E112)</f>
        <v>0</v>
      </c>
      <c r="N112" s="716">
        <f t="shared" ca="1" si="2"/>
        <v>0</v>
      </c>
      <c r="P112" s="690">
        <f t="shared" ca="1" si="3"/>
        <v>0</v>
      </c>
      <c r="Q112" s="692"/>
      <c r="R112" s="690">
        <f t="shared" ca="1" si="4"/>
        <v>0</v>
      </c>
      <c r="S112" s="692"/>
    </row>
    <row r="113" spans="1:18">
      <c r="B113" s="691">
        <f ca="1">IF(Calc!BH194&lt;$J$4,Calc!BH194,$J$4)</f>
        <v>1000</v>
      </c>
      <c r="C113" s="691">
        <f ca="1">IF(Calc!BJ194&lt;0,0,IF(Calc!BJ194&lt;=$J$6,Calc!BJ194,$J$6))</f>
        <v>0</v>
      </c>
      <c r="D113" s="691">
        <f ca="1">IF(Calc!BN194&lt;$J$3,Calc!BN194,$J$3)</f>
        <v>400</v>
      </c>
      <c r="E113" s="691">
        <f ca="1">IF(Calc!BP194&lt;0,0,IF(Calc!BP194&lt;=$J$6,Calc!BP194,$J$6))</f>
        <v>0</v>
      </c>
      <c r="F113" s="696">
        <f ca="1">Calc!BL194</f>
        <v>0</v>
      </c>
      <c r="G113" s="691">
        <f t="shared" ref="G113" ca="1" si="6">IF(AND(F113&gt;$F$59,G112&lt;&gt;0),1,0)</f>
        <v>0</v>
      </c>
      <c r="K113" s="691">
        <f ca="1">IF(G113=1,MATCH($K$61,G$112:$G113,0),C113)</f>
        <v>0</v>
      </c>
      <c r="L113" s="716">
        <f t="shared" ref="L113" ca="1" si="7">IF(C113&lt;0,0,IF(K113&lt;&gt;C113,OFFSET(B112,K113,1,1,1),C113))</f>
        <v>0</v>
      </c>
      <c r="M113" s="691">
        <f ca="1">IF(G113=1,MATCH($K$61,G$112:$G113,0),E113)</f>
        <v>0</v>
      </c>
      <c r="N113" s="716">
        <f t="shared" ref="N113" ca="1" si="8">IF(E113&lt;0,0,IF(M113&lt;&gt;E113,OFFSET(D112,M113,1,1,1),E113))</f>
        <v>0</v>
      </c>
      <c r="P113" s="690">
        <f t="shared" ca="1" si="3"/>
        <v>0</v>
      </c>
      <c r="R113" s="690">
        <f t="shared" ca="1" si="4"/>
        <v>0</v>
      </c>
    </row>
    <row r="117" spans="1:18">
      <c r="A117" s="691" t="str">
        <f ca="1">B2</f>
        <v>AKM22E</v>
      </c>
      <c r="B117" s="691" t="str">
        <f ca="1">D2</f>
        <v>(240 VAC)</v>
      </c>
    </row>
    <row r="118" spans="1:18">
      <c r="B118" s="691" t="s">
        <v>12</v>
      </c>
      <c r="C118" s="691" t="s">
        <v>1857</v>
      </c>
      <c r="E118" s="691" t="s">
        <v>12</v>
      </c>
      <c r="F118" s="691" t="s">
        <v>1857</v>
      </c>
    </row>
    <row r="119" spans="1:18">
      <c r="B119" s="691">
        <v>0</v>
      </c>
      <c r="C119" s="691">
        <f ca="1">C63</f>
        <v>1002</v>
      </c>
    </row>
    <row r="120" spans="1:18">
      <c r="B120" s="695">
        <f ca="1">B63</f>
        <v>858.06666666666661</v>
      </c>
      <c r="C120" s="691">
        <f ca="1">C119</f>
        <v>1002</v>
      </c>
    </row>
    <row r="121" spans="1:18">
      <c r="B121" s="691">
        <v>0</v>
      </c>
      <c r="C121" s="691">
        <v>0</v>
      </c>
    </row>
  </sheetData>
  <mergeCells count="1">
    <mergeCell ref="L58:N58"/>
  </mergeCells>
  <conditionalFormatting sqref="F62:F113">
    <cfRule type="cellIs" dxfId="1" priority="266" operator="greaterThan">
      <formula>$F$59</formula>
    </cfRule>
  </conditionalFormatting>
  <pageMargins left="0.7" right="0.7" top="0.75" bottom="0.75" header="0.3" footer="0.3"/>
  <customProperties>
    <customPr name="workbookAdvencedSettings" r:id="rId1"/>
    <customPr name="workbookExecutionSettings" r:id="rId2"/>
    <customPr name="workbookGatewaySettings"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N120"/>
  <sheetViews>
    <sheetView workbookViewId="0">
      <selection activeCell="I38" sqref="I38"/>
    </sheetView>
  </sheetViews>
  <sheetFormatPr defaultRowHeight="12.75"/>
  <cols>
    <col min="1" max="6" width="9.140625" style="691"/>
    <col min="7" max="7" width="12.5703125" style="691" customWidth="1"/>
    <col min="8" max="11" width="9.140625" style="691"/>
    <col min="12" max="12" width="10.7109375" style="691" bestFit="1" customWidth="1"/>
    <col min="13" max="16384" width="9.140625" style="691"/>
  </cols>
  <sheetData>
    <row r="1" spans="2:13">
      <c r="I1" s="690" t="s">
        <v>1861</v>
      </c>
    </row>
    <row r="2" spans="2:13">
      <c r="B2" s="690" t="s">
        <v>182</v>
      </c>
      <c r="D2" s="690" t="s">
        <v>375</v>
      </c>
      <c r="I2" s="698" t="s">
        <v>83</v>
      </c>
      <c r="L2" s="692" t="s">
        <v>103</v>
      </c>
      <c r="M2" s="692" t="s">
        <v>12</v>
      </c>
    </row>
    <row r="3" spans="2:13">
      <c r="B3" s="691" t="str">
        <f ca="1">Calc!$A$2</f>
        <v>AKM22E</v>
      </c>
      <c r="D3" s="691" t="str">
        <f ca="1">IF(Calc!$C$2=160,"(120 VAC)",IF(Calc!$C$2=320,"(240 VAC)","(400 VAC)"))</f>
        <v>(240 VAC)</v>
      </c>
      <c r="I3" s="691" t="s">
        <v>347</v>
      </c>
      <c r="L3" s="693" t="s">
        <v>19</v>
      </c>
      <c r="M3" s="691">
        <v>400</v>
      </c>
    </row>
    <row r="4" spans="2:13">
      <c r="B4" s="690" t="s">
        <v>1833</v>
      </c>
      <c r="D4" s="690" t="s">
        <v>1834</v>
      </c>
      <c r="I4" s="691" t="s">
        <v>1859</v>
      </c>
      <c r="J4" s="691" t="s">
        <v>1852</v>
      </c>
      <c r="L4" s="693" t="s">
        <v>20</v>
      </c>
      <c r="M4" s="691">
        <v>1333.3333333333335</v>
      </c>
    </row>
    <row r="5" spans="2:13">
      <c r="B5" s="691" t="s">
        <v>12</v>
      </c>
      <c r="C5" s="691" t="s">
        <v>1855</v>
      </c>
      <c r="D5" s="691" t="s">
        <v>12</v>
      </c>
      <c r="E5" s="691" t="s">
        <v>1855</v>
      </c>
    </row>
    <row r="6" spans="2:13">
      <c r="B6" s="691">
        <f>IF(Calc!AN143&lt;$M$4,Calc!AN143,"")</f>
        <v>0</v>
      </c>
      <c r="C6" s="694">
        <f ca="1">IF(Calc!AU143&lt;0,0,IF(Calc!AU143&lt;=$J$6,Calc!AU143,$J$6))</f>
        <v>318</v>
      </c>
      <c r="D6" s="691">
        <f>IF(Calc!AP143&lt;$M$4,Calc!AW143,"")</f>
        <v>0</v>
      </c>
      <c r="E6" s="694">
        <f ca="1">IF(Calc!BD143&lt;0,0,IF(Calc!BD143&lt;=$J$6,Calc!BD143,$J$6))</f>
        <v>1228</v>
      </c>
      <c r="I6" s="692" t="s">
        <v>1883</v>
      </c>
      <c r="J6" s="691">
        <v>1250</v>
      </c>
      <c r="K6" s="692" t="s">
        <v>6</v>
      </c>
    </row>
    <row r="7" spans="2:13">
      <c r="B7" s="695">
        <f ca="1">IF(Calc!AN144&lt;$M$4,Calc!AN144,IF(B6&gt;$M$4,B6,B6))</f>
        <v>26.666666666666664</v>
      </c>
      <c r="C7" s="694">
        <f ca="1">IF(Calc!AU144&lt;0,0,IF(Calc!AU144&lt;=$J$6,Calc!AU144,$J$6))</f>
        <v>313</v>
      </c>
      <c r="D7" s="695">
        <f ca="1">IF(Calc!AW144&lt;$M$3,Calc!AW144,IF(D6&gt;$M$3,D6,D6))</f>
        <v>8</v>
      </c>
      <c r="E7" s="694">
        <f ca="1">IF(Calc!BD144&lt;0,0,IF(Calc!BD144&lt;=$J$6,Calc!BD144,$J$6))</f>
        <v>1219</v>
      </c>
    </row>
    <row r="8" spans="2:13">
      <c r="B8" s="695">
        <f ca="1">IF(Calc!AN145&lt;$M$4,Calc!AN145,IF(B7&gt;$M$4,B7,B7))</f>
        <v>53.333333333333329</v>
      </c>
      <c r="C8" s="694">
        <f ca="1">IF(Calc!AU145&lt;0,0,IF(Calc!AU145&lt;=$J$6,Calc!AU145,$J$6))</f>
        <v>309</v>
      </c>
      <c r="D8" s="695">
        <f ca="1">IF(Calc!AW145&lt;$M$3,Calc!AW145,IF(D7&gt;$M$3,D7,D7))</f>
        <v>16</v>
      </c>
      <c r="E8" s="694">
        <f ca="1">IF(Calc!BD145&lt;0,0,IF(Calc!BD145&lt;=$J$6,Calc!BD145,$J$6))</f>
        <v>1211</v>
      </c>
      <c r="I8" s="698" t="s">
        <v>1862</v>
      </c>
    </row>
    <row r="9" spans="2:13">
      <c r="B9" s="695">
        <f ca="1">IF(Calc!AN146&lt;$M$4,Calc!AN146,IF(B8&gt;$M$4,B8,B8))</f>
        <v>80</v>
      </c>
      <c r="C9" s="694">
        <f ca="1">IF(Calc!AU146&lt;0,0,IF(Calc!AU146&lt;=$J$6,Calc!AU146,$J$6))</f>
        <v>304</v>
      </c>
      <c r="D9" s="695">
        <f ca="1">IF(Calc!AW146&lt;$M$3,Calc!AW146,IF(D8&gt;$M$3,D8,D8))</f>
        <v>24</v>
      </c>
      <c r="E9" s="694">
        <f ca="1">IF(Calc!BD146&lt;0,0,IF(Calc!BD146&lt;=$J$6,Calc!BD146,$J$6))</f>
        <v>1203</v>
      </c>
    </row>
    <row r="10" spans="2:13">
      <c r="B10" s="695">
        <f ca="1">IF(Calc!AN147&lt;$M$4,Calc!AN147,IF(B9&gt;$M$4,B9,B9))</f>
        <v>106.66666666666666</v>
      </c>
      <c r="C10" s="694">
        <f ca="1">IF(Calc!AU147&lt;0,0,IF(Calc!AU147&lt;=$J$6,Calc!AU147,$J$6))</f>
        <v>300</v>
      </c>
      <c r="D10" s="695">
        <f ca="1">IF(Calc!AW147&lt;$M$3,Calc!AW147,IF(D9&gt;$M$3,D9,D9))</f>
        <v>32</v>
      </c>
      <c r="E10" s="694">
        <f ca="1">IF(Calc!BD147&lt;0,0,IF(Calc!BD147&lt;=$J$6,Calc!BD147,$J$6))</f>
        <v>1195</v>
      </c>
    </row>
    <row r="11" spans="2:13">
      <c r="B11" s="695">
        <f ca="1">IF(Calc!AN148&lt;$M$4,Calc!AN148,IF(B10&gt;$M$4,B10,B10))</f>
        <v>133.33333333333334</v>
      </c>
      <c r="C11" s="694">
        <f ca="1">IF(Calc!AU148&lt;0,0,IF(Calc!AU148&lt;=$J$6,Calc!AU148,$J$6))</f>
        <v>295</v>
      </c>
      <c r="D11" s="695">
        <f ca="1">IF(Calc!AW148&lt;$M$3,Calc!AW148,IF(D10&gt;$M$3,D10,D10))</f>
        <v>40</v>
      </c>
      <c r="E11" s="694">
        <f ca="1">IF(Calc!BD148&lt;0,0,IF(Calc!BD148&lt;=$J$6,Calc!BD148,$J$6))</f>
        <v>1187</v>
      </c>
    </row>
    <row r="12" spans="2:13">
      <c r="B12" s="695">
        <f ca="1">IF(Calc!AN149&lt;$M$4,Calc!AN149,IF(B11&gt;$M$4,B11,B11))</f>
        <v>160</v>
      </c>
      <c r="C12" s="694">
        <f ca="1">IF(Calc!AU149&lt;0,0,IF(Calc!AU149&lt;=$J$6,Calc!AU149,$J$6))</f>
        <v>291</v>
      </c>
      <c r="D12" s="695">
        <f ca="1">IF(Calc!AW149&lt;$M$3,Calc!AW149,IF(D11&gt;$M$3,D11,D11))</f>
        <v>48</v>
      </c>
      <c r="E12" s="694">
        <f ca="1">IF(Calc!BD149&lt;0,0,IF(Calc!BD149&lt;=$J$6,Calc!BD149,$J$6))</f>
        <v>1179</v>
      </c>
    </row>
    <row r="13" spans="2:13">
      <c r="B13" s="695">
        <f ca="1">IF(Calc!AN150&lt;$M$4,Calc!AN150,IF(B12&gt;$M$4,B12,B12))</f>
        <v>186.66666666666669</v>
      </c>
      <c r="C13" s="694">
        <f ca="1">IF(Calc!AU150&lt;0,0,IF(Calc!AU150&lt;=$J$6,Calc!AU150,$J$6))</f>
        <v>287</v>
      </c>
      <c r="D13" s="695">
        <f ca="1">IF(Calc!AW150&lt;$M$3,Calc!AW150,IF(D12&gt;$M$3,D12,D12))</f>
        <v>56</v>
      </c>
      <c r="E13" s="694">
        <f ca="1">IF(Calc!BD150&lt;0,0,IF(Calc!BD150&lt;=$J$6,Calc!BD150,$J$6))</f>
        <v>1171</v>
      </c>
    </row>
    <row r="14" spans="2:13">
      <c r="B14" s="695">
        <f ca="1">IF(Calc!AN151&lt;$M$4,Calc!AN151,IF(B13&gt;$M$4,B13,B13))</f>
        <v>213.33333333333331</v>
      </c>
      <c r="C14" s="694">
        <f ca="1">IF(Calc!AU151&lt;0,0,IF(Calc!AU151&lt;=$J$6,Calc!AU151,$J$6))</f>
        <v>283</v>
      </c>
      <c r="D14" s="695">
        <f ca="1">IF(Calc!AW151&lt;$M$3,Calc!AW151,IF(D13&gt;$M$3,D13,D13))</f>
        <v>64</v>
      </c>
      <c r="E14" s="694">
        <f ca="1">IF(Calc!BD151&lt;0,0,IF(Calc!BD151&lt;=$J$6,Calc!BD151,$J$6))</f>
        <v>1164</v>
      </c>
    </row>
    <row r="15" spans="2:13">
      <c r="B15" s="695">
        <f ca="1">IF(Calc!AN152&lt;$M$4,Calc!AN152,IF(B14&gt;$M$4,B14,B14))</f>
        <v>240</v>
      </c>
      <c r="C15" s="694">
        <f ca="1">IF(Calc!AU152&lt;0,0,IF(Calc!AU152&lt;=$J$6,Calc!AU152,$J$6))</f>
        <v>278</v>
      </c>
      <c r="D15" s="695">
        <f ca="1">IF(Calc!AW152&lt;$M$3,Calc!AW152,IF(D14&gt;$M$3,D14,D14))</f>
        <v>72</v>
      </c>
      <c r="E15" s="694">
        <f ca="1">IF(Calc!BD152&lt;0,0,IF(Calc!BD152&lt;=$J$6,Calc!BD152,$J$6))</f>
        <v>1157</v>
      </c>
    </row>
    <row r="16" spans="2:13">
      <c r="B16" s="695">
        <f ca="1">IF(Calc!AN153&lt;$M$4,Calc!AN153,IF(B15&gt;$M$4,B15,B15))</f>
        <v>266.66666666666669</v>
      </c>
      <c r="C16" s="694">
        <f ca="1">IF(Calc!AU153&lt;0,0,IF(Calc!AU153&lt;=$J$6,Calc!AU153,$J$6))</f>
        <v>274</v>
      </c>
      <c r="D16" s="695">
        <f ca="1">IF(Calc!AW153&lt;$M$3,Calc!AW153,IF(D15&gt;$M$3,D15,D15))</f>
        <v>80</v>
      </c>
      <c r="E16" s="694">
        <f ca="1">IF(Calc!BD153&lt;0,0,IF(Calc!BD153&lt;=$J$6,Calc!BD153,$J$6))</f>
        <v>1150</v>
      </c>
    </row>
    <row r="17" spans="2:5">
      <c r="B17" s="695">
        <f ca="1">IF(Calc!AN154&lt;$M$4,Calc!AN154,IF(B16&gt;$M$4,B16,B16))</f>
        <v>293.33333333333331</v>
      </c>
      <c r="C17" s="694">
        <f ca="1">IF(Calc!AU154&lt;0,0,IF(Calc!AU154&lt;=$J$6,Calc!AU154,$J$6))</f>
        <v>270</v>
      </c>
      <c r="D17" s="695">
        <f ca="1">IF(Calc!AW154&lt;$M$3,Calc!AW154,IF(D16&gt;$M$3,D16,D16))</f>
        <v>88</v>
      </c>
      <c r="E17" s="694">
        <f ca="1">IF(Calc!BD154&lt;0,0,IF(Calc!BD154&lt;=$J$6,Calc!BD154,$J$6))</f>
        <v>1143</v>
      </c>
    </row>
    <row r="18" spans="2:5">
      <c r="B18" s="695">
        <f ca="1">IF(Calc!AN155&lt;$M$4,Calc!AN155,IF(B17&gt;$M$4,B17,B17))</f>
        <v>320</v>
      </c>
      <c r="C18" s="694">
        <f ca="1">IF(Calc!AU155&lt;0,0,IF(Calc!AU155&lt;=$J$6,Calc!AU155,$J$6))</f>
        <v>266</v>
      </c>
      <c r="D18" s="695">
        <f ca="1">IF(Calc!AW155&lt;$M$3,Calc!AW155,IF(D17&gt;$M$3,D17,D17))</f>
        <v>96</v>
      </c>
      <c r="E18" s="694">
        <f ca="1">IF(Calc!BD155&lt;0,0,IF(Calc!BD155&lt;=$J$6,Calc!BD155,$J$6))</f>
        <v>1135</v>
      </c>
    </row>
    <row r="19" spans="2:5">
      <c r="B19" s="695">
        <f ca="1">IF(Calc!AN156&lt;$M$4,Calc!AN156,IF(B18&gt;$M$4,B18,B18))</f>
        <v>346.66666666666663</v>
      </c>
      <c r="C19" s="694">
        <f ca="1">IF(Calc!AU156&lt;0,0,IF(Calc!AU156&lt;=$J$6,Calc!AU156,$J$6))</f>
        <v>262</v>
      </c>
      <c r="D19" s="695">
        <f ca="1">IF(Calc!AW156&lt;$M$3,Calc!AW156,IF(D18&gt;$M$3,D18,D18))</f>
        <v>104</v>
      </c>
      <c r="E19" s="694">
        <f ca="1">IF(Calc!BD156&lt;0,0,IF(Calc!BD156&lt;=$J$6,Calc!BD156,$J$6))</f>
        <v>1128</v>
      </c>
    </row>
    <row r="20" spans="2:5">
      <c r="B20" s="695">
        <f ca="1">IF(Calc!AN157&lt;$M$4,Calc!AN157,IF(B19&gt;$M$4,B19,B19))</f>
        <v>373.33333333333337</v>
      </c>
      <c r="C20" s="694">
        <f ca="1">IF(Calc!AU157&lt;0,0,IF(Calc!AU157&lt;=$J$6,Calc!AU157,$J$6))</f>
        <v>258</v>
      </c>
      <c r="D20" s="695">
        <f ca="1">IF(Calc!AW157&lt;$M$3,Calc!AW157,IF(D19&gt;$M$3,D19,D19))</f>
        <v>112</v>
      </c>
      <c r="E20" s="694">
        <f ca="1">IF(Calc!BD157&lt;0,0,IF(Calc!BD157&lt;=$J$6,Calc!BD157,$J$6))</f>
        <v>1121</v>
      </c>
    </row>
    <row r="21" spans="2:5">
      <c r="B21" s="695">
        <f ca="1">IF(Calc!AN158&lt;$M$4,Calc!AN158,IF(B20&gt;$M$4,B20,B20))</f>
        <v>400</v>
      </c>
      <c r="C21" s="694">
        <f ca="1">IF(Calc!AU158&lt;0,0,IF(Calc!AU158&lt;=$J$6,Calc!AU158,$J$6))</f>
        <v>253</v>
      </c>
      <c r="D21" s="695">
        <f ca="1">IF(Calc!AW158&lt;$M$3,Calc!AW158,IF(D20&gt;$M$3,D20,D20))</f>
        <v>120</v>
      </c>
      <c r="E21" s="694">
        <f ca="1">IF(Calc!BD158&lt;0,0,IF(Calc!BD158&lt;=$J$6,Calc!BD158,$J$6))</f>
        <v>1114</v>
      </c>
    </row>
    <row r="22" spans="2:5">
      <c r="B22" s="695">
        <f ca="1">IF(Calc!AN159&lt;$M$4,Calc!AN159,IF(B21&gt;$M$4,B21,B21))</f>
        <v>426.66666666666663</v>
      </c>
      <c r="C22" s="694">
        <f ca="1">IF(Calc!AU159&lt;0,0,IF(Calc!AU159&lt;=$J$6,Calc!AU159,$J$6))</f>
        <v>249</v>
      </c>
      <c r="D22" s="695">
        <f ca="1">IF(Calc!AW159&lt;$M$3,Calc!AW159,IF(D21&gt;$M$3,D21,D21))</f>
        <v>128</v>
      </c>
      <c r="E22" s="694">
        <f ca="1">IF(Calc!BD159&lt;0,0,IF(Calc!BD159&lt;=$J$6,Calc!BD159,$J$6))</f>
        <v>1106</v>
      </c>
    </row>
    <row r="23" spans="2:5">
      <c r="B23" s="695">
        <f ca="1">IF(Calc!AN160&lt;$M$4,Calc!AN160,IF(B22&gt;$M$4,B22,B22))</f>
        <v>453.33333333333337</v>
      </c>
      <c r="C23" s="694">
        <f ca="1">IF(Calc!AU160&lt;0,0,IF(Calc!AU160&lt;=$J$6,Calc!AU160,$J$6))</f>
        <v>245</v>
      </c>
      <c r="D23" s="695">
        <f ca="1">IF(Calc!AW160&lt;$M$3,Calc!AW160,IF(D22&gt;$M$3,D22,D22))</f>
        <v>136</v>
      </c>
      <c r="E23" s="694">
        <f ca="1">IF(Calc!BD160&lt;0,0,IF(Calc!BD160&lt;=$J$6,Calc!BD160,$J$6))</f>
        <v>1099</v>
      </c>
    </row>
    <row r="24" spans="2:5">
      <c r="B24" s="695">
        <f ca="1">IF(Calc!AN161&lt;$M$4,Calc!AN161,IF(B23&gt;$M$4,B23,B23))</f>
        <v>480</v>
      </c>
      <c r="C24" s="694">
        <f ca="1">IF(Calc!AU161&lt;0,0,IF(Calc!AU161&lt;=$J$6,Calc!AU161,$J$6))</f>
        <v>241</v>
      </c>
      <c r="D24" s="695">
        <f ca="1">IF(Calc!AW161&lt;$M$3,Calc!AW161,IF(D23&gt;$M$3,D23,D23))</f>
        <v>144</v>
      </c>
      <c r="E24" s="694">
        <f ca="1">IF(Calc!BD161&lt;0,0,IF(Calc!BD161&lt;=$J$6,Calc!BD161,$J$6))</f>
        <v>1092</v>
      </c>
    </row>
    <row r="25" spans="2:5">
      <c r="B25" s="695">
        <f ca="1">IF(Calc!AN162&lt;$M$4,Calc!AN162,IF(B24&gt;$M$4,B24,B24))</f>
        <v>506.66666666666663</v>
      </c>
      <c r="C25" s="694">
        <f ca="1">IF(Calc!AU162&lt;0,0,IF(Calc!AU162&lt;=$J$6,Calc!AU162,$J$6))</f>
        <v>237</v>
      </c>
      <c r="D25" s="695">
        <f ca="1">IF(Calc!AW162&lt;$M$3,Calc!AW162,IF(D24&gt;$M$3,D24,D24))</f>
        <v>152</v>
      </c>
      <c r="E25" s="694">
        <f ca="1">IF(Calc!BD162&lt;0,0,IF(Calc!BD162&lt;=$J$6,Calc!BD162,$J$6))</f>
        <v>1085</v>
      </c>
    </row>
    <row r="26" spans="2:5">
      <c r="B26" s="695">
        <f ca="1">IF(Calc!AN163&lt;$M$4,Calc!AN163,IF(B25&gt;$M$4,B25,B25))</f>
        <v>533.33333333333337</v>
      </c>
      <c r="C26" s="694">
        <f ca="1">IF(Calc!AU163&lt;0,0,IF(Calc!AU163&lt;=$J$6,Calc!AU163,$J$6))</f>
        <v>232</v>
      </c>
      <c r="D26" s="695">
        <f ca="1">IF(Calc!AW163&lt;$M$3,Calc!AW163,IF(D25&gt;$M$3,D25,D25))</f>
        <v>160</v>
      </c>
      <c r="E26" s="694">
        <f ca="1">IF(Calc!BD163&lt;0,0,IF(Calc!BD163&lt;=$J$6,Calc!BD163,$J$6))</f>
        <v>1078</v>
      </c>
    </row>
    <row r="27" spans="2:5">
      <c r="B27" s="695">
        <f ca="1">IF(Calc!AN164&lt;$M$4,Calc!AN164,IF(B26&gt;$M$4,B26,B26))</f>
        <v>560</v>
      </c>
      <c r="C27" s="694">
        <f ca="1">IF(Calc!AU164&lt;0,0,IF(Calc!AU164&lt;=$J$6,Calc!AU164,$J$6))</f>
        <v>228</v>
      </c>
      <c r="D27" s="695">
        <f ca="1">IF(Calc!AW164&lt;$M$3,Calc!AW164,IF(D26&gt;$M$3,D26,D26))</f>
        <v>168</v>
      </c>
      <c r="E27" s="694">
        <f ca="1">IF(Calc!BD164&lt;0,0,IF(Calc!BD164&lt;=$J$6,Calc!BD164,$J$6))</f>
        <v>1070</v>
      </c>
    </row>
    <row r="28" spans="2:5">
      <c r="B28" s="695">
        <f ca="1">IF(Calc!AN165&lt;$M$4,Calc!AN165,IF(B27&gt;$M$4,B27,B27))</f>
        <v>586.66666666666663</v>
      </c>
      <c r="C28" s="694">
        <f ca="1">IF(Calc!AU165&lt;0,0,IF(Calc!AU165&lt;=$J$6,Calc!AU165,$J$6))</f>
        <v>224</v>
      </c>
      <c r="D28" s="695">
        <f ca="1">IF(Calc!AW165&lt;$M$3,Calc!AW165,IF(D27&gt;$M$3,D27,D27))</f>
        <v>176</v>
      </c>
      <c r="E28" s="694">
        <f ca="1">IF(Calc!BD165&lt;0,0,IF(Calc!BD165&lt;=$J$6,Calc!BD165,$J$6))</f>
        <v>1061</v>
      </c>
    </row>
    <row r="29" spans="2:5">
      <c r="B29" s="695">
        <f ca="1">IF(Calc!AN166&lt;$M$4,Calc!AN166,IF(B28&gt;$M$4,B28,B28))</f>
        <v>613.33333333333337</v>
      </c>
      <c r="C29" s="694">
        <f ca="1">IF(Calc!AU166&lt;0,0,IF(Calc!AU166&lt;=$J$6,Calc!AU166,$J$6))</f>
        <v>219</v>
      </c>
      <c r="D29" s="695">
        <f ca="1">IF(Calc!AW166&lt;$M$3,Calc!AW166,IF(D28&gt;$M$3,D28,D28))</f>
        <v>184</v>
      </c>
      <c r="E29" s="694">
        <f ca="1">IF(Calc!BD166&lt;0,0,IF(Calc!BD166&lt;=$J$6,Calc!BD166,$J$6))</f>
        <v>1052</v>
      </c>
    </row>
    <row r="30" spans="2:5">
      <c r="B30" s="695">
        <f ca="1">IF(Calc!AN167&lt;$M$4,Calc!AN167,IF(B29&gt;$M$4,B29,B29))</f>
        <v>640</v>
      </c>
      <c r="C30" s="694">
        <f ca="1">IF(Calc!AU167&lt;0,0,IF(Calc!AU167&lt;=$J$6,Calc!AU167,$J$6))</f>
        <v>214</v>
      </c>
      <c r="D30" s="695">
        <f ca="1">IF(Calc!AW167&lt;$M$3,Calc!AW167,IF(D29&gt;$M$3,D29,D29))</f>
        <v>192</v>
      </c>
      <c r="E30" s="694">
        <f ca="1">IF(Calc!BD167&lt;0,0,IF(Calc!BD167&lt;=$J$6,Calc!BD167,$J$6))</f>
        <v>1043</v>
      </c>
    </row>
    <row r="31" spans="2:5">
      <c r="B31" s="695">
        <f ca="1">IF(Calc!AN168&lt;$M$4,Calc!AN168,IF(B30&gt;$M$4,B30,B30))</f>
        <v>666.66666666666674</v>
      </c>
      <c r="C31" s="694">
        <f ca="1">IF(Calc!AU168&lt;0,0,IF(Calc!AU168&lt;=$J$6,Calc!AU168,$J$6))</f>
        <v>209</v>
      </c>
      <c r="D31" s="695">
        <f ca="1">IF(Calc!AW168&lt;$M$3,Calc!AW168,IF(D30&gt;$M$3,D30,D30))</f>
        <v>200</v>
      </c>
      <c r="E31" s="694">
        <f ca="1">IF(Calc!BD168&lt;0,0,IF(Calc!BD168&lt;=$J$6,Calc!BD168,$J$6))</f>
        <v>1033</v>
      </c>
    </row>
    <row r="32" spans="2:5">
      <c r="B32" s="695">
        <f ca="1">IF(Calc!AN169&lt;$M$4,Calc!AN169,IF(B31&gt;$M$4,B31,B31))</f>
        <v>693.33333333333326</v>
      </c>
      <c r="C32" s="694">
        <f ca="1">IF(Calc!AU169&lt;0,0,IF(Calc!AU169&lt;=$J$6,Calc!AU169,$J$6))</f>
        <v>204</v>
      </c>
      <c r="D32" s="695">
        <f ca="1">IF(Calc!AW169&lt;$M$3,Calc!AW169,IF(D31&gt;$M$3,D31,D31))</f>
        <v>208</v>
      </c>
      <c r="E32" s="694">
        <f ca="1">IF(Calc!BD169&lt;0,0,IF(Calc!BD169&lt;=$J$6,Calc!BD169,$J$6))</f>
        <v>1024</v>
      </c>
    </row>
    <row r="33" spans="2:5">
      <c r="B33" s="695">
        <f ca="1">IF(Calc!AN170&lt;$M$4,Calc!AN170,IF(B32&gt;$M$4,B32,B32))</f>
        <v>720</v>
      </c>
      <c r="C33" s="694">
        <f ca="1">IF(Calc!AU170&lt;0,0,IF(Calc!AU170&lt;=$J$6,Calc!AU170,$J$6))</f>
        <v>200</v>
      </c>
      <c r="D33" s="695">
        <f ca="1">IF(Calc!AW170&lt;$M$3,Calc!AW170,IF(D32&gt;$M$3,D32,D32))</f>
        <v>216</v>
      </c>
      <c r="E33" s="694">
        <f ca="1">IF(Calc!BD170&lt;0,0,IF(Calc!BD170&lt;=$J$6,Calc!BD170,$J$6))</f>
        <v>1015</v>
      </c>
    </row>
    <row r="34" spans="2:5">
      <c r="B34" s="695">
        <f ca="1">IF(Calc!AN171&lt;$M$4,Calc!AN171,IF(B33&gt;$M$4,B33,B33))</f>
        <v>746.66666666666674</v>
      </c>
      <c r="C34" s="694">
        <f ca="1">IF(Calc!AU171&lt;0,0,IF(Calc!AU171&lt;=$J$6,Calc!AU171,$J$6))</f>
        <v>195</v>
      </c>
      <c r="D34" s="695">
        <f ca="1">IF(Calc!AW171&lt;$M$3,Calc!AW171,IF(D33&gt;$M$3,D33,D33))</f>
        <v>224</v>
      </c>
      <c r="E34" s="694">
        <f ca="1">IF(Calc!BD171&lt;0,0,IF(Calc!BD171&lt;=$J$6,Calc!BD171,$J$6))</f>
        <v>1006</v>
      </c>
    </row>
    <row r="35" spans="2:5">
      <c r="B35" s="695">
        <f ca="1">IF(Calc!AN172&lt;$M$4,Calc!AN172,IF(B34&gt;$M$4,B34,B34))</f>
        <v>773.33333333333326</v>
      </c>
      <c r="C35" s="694">
        <f ca="1">IF(Calc!AU172&lt;0,0,IF(Calc!AU172&lt;=$J$6,Calc!AU172,$J$6))</f>
        <v>190</v>
      </c>
      <c r="D35" s="695">
        <f ca="1">IF(Calc!AW172&lt;$M$3,Calc!AW172,IF(D34&gt;$M$3,D34,D34))</f>
        <v>232</v>
      </c>
      <c r="E35" s="694">
        <f ca="1">IF(Calc!BD172&lt;0,0,IF(Calc!BD172&lt;=$J$6,Calc!BD172,$J$6))</f>
        <v>996</v>
      </c>
    </row>
    <row r="36" spans="2:5">
      <c r="B36" s="695">
        <f ca="1">IF(Calc!AN173&lt;$M$4,Calc!AN173,IF(B35&gt;$M$4,B35,B35))</f>
        <v>800</v>
      </c>
      <c r="C36" s="694">
        <f ca="1">IF(Calc!AU173&lt;0,0,IF(Calc!AU173&lt;=$J$6,Calc!AU173,$J$6))</f>
        <v>185</v>
      </c>
      <c r="D36" s="695">
        <f ca="1">IF(Calc!AW173&lt;$M$3,Calc!AW173,IF(D35&gt;$M$3,D35,D35))</f>
        <v>240</v>
      </c>
      <c r="E36" s="694">
        <f ca="1">IF(Calc!BD173&lt;0,0,IF(Calc!BD173&lt;=$J$6,Calc!BD173,$J$6))</f>
        <v>987</v>
      </c>
    </row>
    <row r="37" spans="2:5">
      <c r="B37" s="695">
        <f ca="1">IF(Calc!AN174&lt;$M$4,Calc!AN174,IF(B36&gt;$M$4,B36,B36))</f>
        <v>826.66666666666674</v>
      </c>
      <c r="C37" s="694">
        <f ca="1">IF(Calc!AU174&lt;0,0,IF(Calc!AU174&lt;=$J$6,Calc!AU174,$J$6))</f>
        <v>180</v>
      </c>
      <c r="D37" s="695">
        <f ca="1">IF(Calc!AW174&lt;$M$3,Calc!AW174,IF(D36&gt;$M$3,D36,D36))</f>
        <v>248</v>
      </c>
      <c r="E37" s="694">
        <f ca="1">IF(Calc!BD174&lt;0,0,IF(Calc!BD174&lt;=$J$6,Calc!BD174,$J$6))</f>
        <v>978</v>
      </c>
    </row>
    <row r="38" spans="2:5">
      <c r="B38" s="695">
        <f ca="1">IF(Calc!AN175&lt;$M$4,Calc!AN175,IF(B37&gt;$M$4,B37,B37))</f>
        <v>853.33333333333326</v>
      </c>
      <c r="C38" s="694">
        <f ca="1">IF(Calc!AU175&lt;0,0,IF(Calc!AU175&lt;=$J$6,Calc!AU175,$J$6))</f>
        <v>176</v>
      </c>
      <c r="D38" s="695">
        <f ca="1">IF(Calc!AW175&lt;$M$3,Calc!AW175,IF(D37&gt;$M$3,D37,D37))</f>
        <v>256</v>
      </c>
      <c r="E38" s="694">
        <f ca="1">IF(Calc!BD175&lt;0,0,IF(Calc!BD175&lt;=$J$6,Calc!BD175,$J$6))</f>
        <v>969</v>
      </c>
    </row>
    <row r="39" spans="2:5">
      <c r="B39" s="695">
        <f ca="1">IF(Calc!AN176&lt;$M$4,Calc!AN176,IF(B38&gt;$M$4,B38,B38))</f>
        <v>880</v>
      </c>
      <c r="C39" s="694">
        <f ca="1">IF(Calc!AU176&lt;0,0,IF(Calc!AU176&lt;=$J$6,Calc!AU176,$J$6))</f>
        <v>171</v>
      </c>
      <c r="D39" s="695">
        <f ca="1">IF(Calc!AW176&lt;$M$3,Calc!AW176,IF(D38&gt;$M$3,D38,D38))</f>
        <v>264</v>
      </c>
      <c r="E39" s="694">
        <f ca="1">IF(Calc!BD176&lt;0,0,IF(Calc!BD176&lt;=$J$6,Calc!BD176,$J$6))</f>
        <v>959</v>
      </c>
    </row>
    <row r="40" spans="2:5">
      <c r="B40" s="695">
        <f ca="1">IF(Calc!AN177&lt;$M$4,Calc!AN177,IF(B39&gt;$M$4,B39,B39))</f>
        <v>906.66666666666674</v>
      </c>
      <c r="C40" s="694">
        <f ca="1">IF(Calc!AU177&lt;0,0,IF(Calc!AU177&lt;=$J$6,Calc!AU177,$J$6))</f>
        <v>166</v>
      </c>
      <c r="D40" s="695">
        <f ca="1">IF(Calc!AW177&lt;$M$3,Calc!AW177,IF(D39&gt;$M$3,D39,D39))</f>
        <v>272</v>
      </c>
      <c r="E40" s="694">
        <f ca="1">IF(Calc!BD177&lt;0,0,IF(Calc!BD177&lt;=$J$6,Calc!BD177,$J$6))</f>
        <v>950</v>
      </c>
    </row>
    <row r="41" spans="2:5">
      <c r="B41" s="695">
        <f ca="1">IF(Calc!AN178&lt;$M$4,Calc!AN178,IF(B40&gt;$M$4,B40,B40))</f>
        <v>933.33333333333326</v>
      </c>
      <c r="C41" s="694">
        <f ca="1">IF(Calc!AU178&lt;0,0,IF(Calc!AU178&lt;=$J$6,Calc!AU178,$J$6))</f>
        <v>161</v>
      </c>
      <c r="D41" s="695">
        <f ca="1">IF(Calc!AW178&lt;$M$3,Calc!AW178,IF(D40&gt;$M$3,D40,D40))</f>
        <v>280</v>
      </c>
      <c r="E41" s="694">
        <f ca="1">IF(Calc!BD178&lt;0,0,IF(Calc!BD178&lt;=$J$6,Calc!BD178,$J$6))</f>
        <v>941</v>
      </c>
    </row>
    <row r="42" spans="2:5">
      <c r="B42" s="695">
        <f ca="1">IF(Calc!AN179&lt;$M$4,Calc!AN179,IF(B41&gt;$M$4,B41,B41))</f>
        <v>960</v>
      </c>
      <c r="C42" s="694">
        <f ca="1">IF(Calc!AU179&lt;0,0,IF(Calc!AU179&lt;=$J$6,Calc!AU179,$J$6))</f>
        <v>157</v>
      </c>
      <c r="D42" s="695">
        <f ca="1">IF(Calc!AW179&lt;$M$3,Calc!AW179,IF(D41&gt;$M$3,D41,D41))</f>
        <v>288</v>
      </c>
      <c r="E42" s="694">
        <f ca="1">IF(Calc!BD179&lt;0,0,IF(Calc!BD179&lt;=$J$6,Calc!BD179,$J$6))</f>
        <v>932</v>
      </c>
    </row>
    <row r="43" spans="2:5">
      <c r="B43" s="695">
        <f ca="1">IF(Calc!AN180&lt;$M$4,Calc!AN180,IF(B42&gt;$M$4,B42,B42))</f>
        <v>986.66666666666674</v>
      </c>
      <c r="C43" s="694">
        <f ca="1">IF(Calc!AU180&lt;0,0,IF(Calc!AU180&lt;=$J$6,Calc!AU180,$J$6))</f>
        <v>152</v>
      </c>
      <c r="D43" s="695">
        <f ca="1">IF(Calc!AW180&lt;$M$3,Calc!AW180,IF(D42&gt;$M$3,D42,D42))</f>
        <v>296</v>
      </c>
      <c r="E43" s="694">
        <f ca="1">IF(Calc!BD180&lt;0,0,IF(Calc!BD180&lt;=$J$6,Calc!BD180,$J$6))</f>
        <v>922</v>
      </c>
    </row>
    <row r="44" spans="2:5">
      <c r="B44" s="695">
        <f ca="1">IF(Calc!AN181&lt;$M$4,Calc!AN181,IF(B43&gt;$M$4,B43,B43))</f>
        <v>1013.3333333333333</v>
      </c>
      <c r="C44" s="694">
        <f ca="1">IF(Calc!AU181&lt;0,0,IF(Calc!AU181&lt;=$J$6,Calc!AU181,$J$6))</f>
        <v>147</v>
      </c>
      <c r="D44" s="695">
        <f ca="1">IF(Calc!AW181&lt;$M$3,Calc!AW181,IF(D43&gt;$M$3,D43,D43))</f>
        <v>304</v>
      </c>
      <c r="E44" s="694">
        <f ca="1">IF(Calc!BD181&lt;0,0,IF(Calc!BD181&lt;=$J$6,Calc!BD181,$J$6))</f>
        <v>913</v>
      </c>
    </row>
    <row r="45" spans="2:5">
      <c r="B45" s="695">
        <f ca="1">IF(Calc!AN182&lt;$M$4,Calc!AN182,IF(B44&gt;$M$4,B44,B44))</f>
        <v>1040</v>
      </c>
      <c r="C45" s="694">
        <f ca="1">IF(Calc!AU182&lt;0,0,IF(Calc!AU182&lt;=$J$6,Calc!AU182,$J$6))</f>
        <v>142</v>
      </c>
      <c r="D45" s="695">
        <f ca="1">IF(Calc!AW182&lt;$M$3,Calc!AW182,IF(D44&gt;$M$3,D44,D44))</f>
        <v>312</v>
      </c>
      <c r="E45" s="694">
        <f ca="1">IF(Calc!BD182&lt;0,0,IF(Calc!BD182&lt;=$J$6,Calc!BD182,$J$6))</f>
        <v>904</v>
      </c>
    </row>
    <row r="46" spans="2:5">
      <c r="B46" s="695">
        <f ca="1">IF(Calc!AN183&lt;$M$4,Calc!AN183,IF(B45&gt;$M$4,B45,B45))</f>
        <v>1066.6666666666667</v>
      </c>
      <c r="C46" s="694">
        <f ca="1">IF(Calc!AU183&lt;0,0,IF(Calc!AU183&lt;=$J$6,Calc!AU183,$J$6))</f>
        <v>137</v>
      </c>
      <c r="D46" s="695">
        <f ca="1">IF(Calc!AW183&lt;$M$3,Calc!AW183,IF(D45&gt;$M$3,D45,D45))</f>
        <v>320</v>
      </c>
      <c r="E46" s="694">
        <f ca="1">IF(Calc!BD183&lt;0,0,IF(Calc!BD183&lt;=$J$6,Calc!BD183,$J$6))</f>
        <v>895</v>
      </c>
    </row>
    <row r="47" spans="2:5">
      <c r="B47" s="695">
        <f ca="1">IF(Calc!AN184&lt;$M$4,Calc!AN184,IF(B46&gt;$M$4,B46,B46))</f>
        <v>1093.3333333333333</v>
      </c>
      <c r="C47" s="694">
        <f ca="1">IF(Calc!AU184&lt;0,0,IF(Calc!AU184&lt;=$J$6,Calc!AU184,$J$6))</f>
        <v>133</v>
      </c>
      <c r="D47" s="695">
        <f ca="1">IF(Calc!AW184&lt;$M$3,Calc!AW184,IF(D46&gt;$M$3,D46,D46))</f>
        <v>328</v>
      </c>
      <c r="E47" s="694">
        <f ca="1">IF(Calc!BD184&lt;0,0,IF(Calc!BD184&lt;=$J$6,Calc!BD184,$J$6))</f>
        <v>885</v>
      </c>
    </row>
    <row r="48" spans="2:5">
      <c r="B48" s="695">
        <f ca="1">IF(Calc!AN185&lt;$M$4,Calc!AN185,IF(B47&gt;$M$4,B47,B47))</f>
        <v>1120</v>
      </c>
      <c r="C48" s="694">
        <f ca="1">IF(Calc!AU185&lt;0,0,IF(Calc!AU185&lt;=$J$6,Calc!AU185,$J$6))</f>
        <v>128</v>
      </c>
      <c r="D48" s="695">
        <f ca="1">IF(Calc!AW185&lt;$M$3,Calc!AW185,IF(D47&gt;$M$3,D47,D47))</f>
        <v>336</v>
      </c>
      <c r="E48" s="694">
        <f ca="1">IF(Calc!BD185&lt;0,0,IF(Calc!BD185&lt;=$J$6,Calc!BD185,$J$6))</f>
        <v>876</v>
      </c>
    </row>
    <row r="49" spans="2:14">
      <c r="B49" s="695">
        <f ca="1">IF(Calc!AN186&lt;$M$4,Calc!AN186,IF(B48&gt;$M$4,B48,B48))</f>
        <v>1146.6666666666667</v>
      </c>
      <c r="C49" s="694">
        <f ca="1">IF(Calc!AU186&lt;0,0,IF(Calc!AU186&lt;=$J$6,Calc!AU186,$J$6))</f>
        <v>123</v>
      </c>
      <c r="D49" s="695">
        <f ca="1">IF(Calc!AW186&lt;$M$3,Calc!AW186,IF(D48&gt;$M$3,D48,D48))</f>
        <v>344</v>
      </c>
      <c r="E49" s="694">
        <f ca="1">IF(Calc!BD186&lt;0,0,IF(Calc!BD186&lt;=$J$6,Calc!BD186,$J$6))</f>
        <v>867</v>
      </c>
    </row>
    <row r="50" spans="2:14">
      <c r="B50" s="695">
        <f ca="1">IF(Calc!AN187&lt;$M$4,Calc!AN187,IF(B49&gt;$M$4,B49,B49))</f>
        <v>1173.3333333333333</v>
      </c>
      <c r="C50" s="694">
        <f ca="1">IF(Calc!AU187&lt;0,0,IF(Calc!AU187&lt;=$J$6,Calc!AU187,$J$6))</f>
        <v>118</v>
      </c>
      <c r="D50" s="695">
        <f ca="1">IF(Calc!AW187&lt;$M$3,Calc!AW187,IF(D49&gt;$M$3,D49,D49))</f>
        <v>352</v>
      </c>
      <c r="E50" s="694">
        <f ca="1">IF(Calc!BD187&lt;0,0,IF(Calc!BD187&lt;=$J$6,Calc!BD187,$J$6))</f>
        <v>858</v>
      </c>
    </row>
    <row r="51" spans="2:14">
      <c r="B51" s="695">
        <f ca="1">IF(Calc!AN188&lt;$M$4,Calc!AN188,IF(B50&gt;$M$4,B50,B50))</f>
        <v>1200</v>
      </c>
      <c r="C51" s="694">
        <f ca="1">IF(Calc!AU188&lt;0,0,IF(Calc!AU188&lt;=$J$6,Calc!AU188,$J$6))</f>
        <v>113</v>
      </c>
      <c r="D51" s="695">
        <f ca="1">IF(Calc!AW188&lt;$M$3,Calc!AW188,IF(D50&gt;$M$3,D50,D50))</f>
        <v>360</v>
      </c>
      <c r="E51" s="694">
        <f ca="1">IF(Calc!BD188&lt;0,0,IF(Calc!BD188&lt;=$J$6,Calc!BD188,$J$6))</f>
        <v>848</v>
      </c>
    </row>
    <row r="52" spans="2:14">
      <c r="B52" s="695">
        <f ca="1">IF(Calc!AN189&lt;$M$4,Calc!AN189,IF(B51&gt;$M$4,B51,B51))</f>
        <v>1226.6666666666667</v>
      </c>
      <c r="C52" s="694">
        <f ca="1">IF(Calc!AU189&lt;0,0,IF(Calc!AU189&lt;=$J$6,Calc!AU189,$J$6))</f>
        <v>109</v>
      </c>
      <c r="D52" s="695">
        <f ca="1">IF(Calc!AW189&lt;$M$3,Calc!AW189,IF(D51&gt;$M$3,D51,D51))</f>
        <v>368</v>
      </c>
      <c r="E52" s="694">
        <f ca="1">IF(Calc!BD189&lt;0,0,IF(Calc!BD189&lt;=$J$6,Calc!BD189,$J$6))</f>
        <v>839</v>
      </c>
    </row>
    <row r="53" spans="2:14">
      <c r="B53" s="695">
        <f ca="1">IF(Calc!AN190&lt;$M$4,Calc!AN190,IF(B52&gt;$M$4,B52,B52))</f>
        <v>1253.3333333333333</v>
      </c>
      <c r="C53" s="694">
        <f ca="1">IF(Calc!AU190&lt;0,0,IF(Calc!AU190&lt;=$J$6,Calc!AU190,$J$6))</f>
        <v>104</v>
      </c>
      <c r="D53" s="695">
        <f ca="1">IF(Calc!AW190&lt;$M$3,Calc!AW190,IF(D52&gt;$M$3,D52,D52))</f>
        <v>376</v>
      </c>
      <c r="E53" s="694">
        <f ca="1">IF(Calc!BD190&lt;0,0,IF(Calc!BD190&lt;=$J$6,Calc!BD190,$J$6))</f>
        <v>830</v>
      </c>
    </row>
    <row r="54" spans="2:14">
      <c r="B54" s="695">
        <f ca="1">IF(Calc!AN191&lt;$M$4,Calc!AN191,IF(B53&gt;$M$4,B53,B53))</f>
        <v>1280</v>
      </c>
      <c r="C54" s="694">
        <f ca="1">IF(Calc!AU191&lt;0,0,IF(Calc!AU191&lt;=$J$6,Calc!AU191,$J$6))</f>
        <v>99</v>
      </c>
      <c r="D54" s="695">
        <f ca="1">IF(Calc!AW191&lt;$M$3,Calc!AW191,IF(D53&gt;$M$3,D53,D53))</f>
        <v>384</v>
      </c>
      <c r="E54" s="694">
        <f ca="1">IF(Calc!BD191&lt;0,0,IF(Calc!BD191&lt;=$J$6,Calc!BD191,$J$6))</f>
        <v>821</v>
      </c>
    </row>
    <row r="55" spans="2:14">
      <c r="B55" s="695">
        <f ca="1">IF(Calc!AN192&lt;$M$4,Calc!AN192,IF(B54&gt;$M$4,B54,B54))</f>
        <v>1306.6666666666665</v>
      </c>
      <c r="C55" s="694">
        <f ca="1">IF(Calc!AU192&lt;0,0,IF(Calc!AU192&lt;=$J$6,Calc!AU192,$J$6))</f>
        <v>94</v>
      </c>
      <c r="D55" s="695">
        <f ca="1">IF(Calc!AW192&lt;$M$3,Calc!AW192,IF(D54&gt;$M$3,D54,D54))</f>
        <v>392</v>
      </c>
      <c r="E55" s="694">
        <f ca="1">IF(Calc!BD192&lt;0,0,IF(Calc!BD192&lt;=$J$6,Calc!BD192,$J$6))</f>
        <v>811</v>
      </c>
    </row>
    <row r="56" spans="2:14">
      <c r="B56" s="695">
        <f ca="1">IF(Calc!AN193&lt;$M$4,Calc!AN193,IF(B55&gt;$M$4,B55,B55))</f>
        <v>1306.6666666666665</v>
      </c>
      <c r="C56" s="694">
        <f ca="1">IF(Calc!AU193&lt;0,0,IF(Calc!AU193&lt;=$J$6,Calc!AU193,$J$6))</f>
        <v>90</v>
      </c>
      <c r="D56" s="695">
        <f ca="1">IF(Calc!AW193&lt;$M$3,Calc!AW193,IF(D55&gt;$M$3,D55,D55))</f>
        <v>392</v>
      </c>
      <c r="E56" s="694">
        <f ca="1">IF(Calc!BD193&lt;0,0,IF(Calc!BD193&lt;=$J$6,Calc!BD193,$J$6))</f>
        <v>804</v>
      </c>
    </row>
    <row r="57" spans="2:14">
      <c r="B57" s="695">
        <f ca="1">IF(Calc!AN194&lt;$M$4,Calc!AN194,IF(B56&gt;$M$4,B56,B56))</f>
        <v>1306.6666666666665</v>
      </c>
      <c r="C57" s="694">
        <f>IF(Calc!AU194&lt;0,0,IF(Calc!AU194&lt;=$J$6,Calc!AU194,$J$6))</f>
        <v>0</v>
      </c>
      <c r="D57" s="695">
        <f ca="1">IF(Calc!AW194&lt;$M$3,Calc!AW194,IF(D56&gt;$M$3,D56,D56))</f>
        <v>392</v>
      </c>
      <c r="E57" s="694">
        <f>IF(Calc!BD194&lt;0,0,IF(Calc!BD194&lt;=$J$6,Calc!BD194,$J$6))</f>
        <v>0</v>
      </c>
    </row>
    <row r="58" spans="2:14">
      <c r="L58" s="1067" t="s">
        <v>1857</v>
      </c>
      <c r="M58" s="1068"/>
      <c r="N58" s="1069"/>
    </row>
    <row r="59" spans="2:14">
      <c r="B59" s="690" t="s">
        <v>1769</v>
      </c>
      <c r="E59" s="691" t="s">
        <v>1858</v>
      </c>
      <c r="K59" s="719" t="s">
        <v>1881</v>
      </c>
      <c r="M59" s="692" t="s">
        <v>1881</v>
      </c>
    </row>
    <row r="60" spans="2:14">
      <c r="E60" s="691" t="s">
        <v>370</v>
      </c>
      <c r="F60" s="691">
        <v>2.2999999999999998</v>
      </c>
      <c r="G60" s="691" t="s">
        <v>7</v>
      </c>
      <c r="K60" s="721"/>
      <c r="L60" s="690" t="s">
        <v>1833</v>
      </c>
      <c r="M60" s="690"/>
      <c r="N60" s="690" t="s">
        <v>1834</v>
      </c>
    </row>
    <row r="61" spans="2:14">
      <c r="B61" s="690" t="s">
        <v>1833</v>
      </c>
      <c r="D61" s="690" t="s">
        <v>1834</v>
      </c>
      <c r="F61" s="692" t="s">
        <v>1850</v>
      </c>
      <c r="G61" s="690" t="s">
        <v>1880</v>
      </c>
      <c r="K61" s="722">
        <v>0</v>
      </c>
      <c r="L61" s="691" t="s">
        <v>1855</v>
      </c>
      <c r="N61" s="691" t="s">
        <v>1855</v>
      </c>
    </row>
    <row r="62" spans="2:14">
      <c r="B62" s="691" t="s">
        <v>12</v>
      </c>
      <c r="C62" s="691" t="s">
        <v>1855</v>
      </c>
      <c r="D62" s="691" t="s">
        <v>12</v>
      </c>
      <c r="E62" s="691" t="s">
        <v>1855</v>
      </c>
      <c r="F62" s="692" t="s">
        <v>360</v>
      </c>
      <c r="G62" s="690" t="s">
        <v>1882</v>
      </c>
    </row>
    <row r="63" spans="2:14">
      <c r="B63" s="691">
        <f>IF(Calc!BT143&gt;$M$4,$M$4,Calc!BT143)</f>
        <v>0</v>
      </c>
      <c r="C63" s="691">
        <f ca="1">IF(Calc!BV143&lt;0,0,IF(Calc!BV143&lt;=$J$6,Calc!BV143,$J$6))</f>
        <v>1173</v>
      </c>
      <c r="D63" s="691">
        <f>IF(Calc!BZ143&lt;$M$3,Calc!BZ143,$M$3)</f>
        <v>0</v>
      </c>
      <c r="E63" s="691">
        <f ca="1">IF(Calc!CB143&lt;0,0,IF(Calc!CB143&lt;=$J$6,Calc!CB143,$J$6))</f>
        <v>1250</v>
      </c>
      <c r="F63" s="696">
        <f ca="1">Calc!BX143</f>
        <v>2.7600000000000002</v>
      </c>
      <c r="G63" s="691">
        <f ca="1">IF(AND(F63&gt;$F$60,G62&lt;&gt;0),1,0)</f>
        <v>1</v>
      </c>
      <c r="K63" s="691">
        <f ca="1">IF(G63=1,MATCH($K$61,G63:$G$113,0),C63)</f>
        <v>13</v>
      </c>
      <c r="L63" s="716">
        <f ca="1">IF(C63&lt;0,0,IF(K63&lt;&gt;C63,OFFSET(B62,K63,1,1,1),C63))</f>
        <v>841</v>
      </c>
      <c r="M63" s="691">
        <f ca="1">IF(G63=1,MATCH($K$61,G63:$G$113,0),E63)</f>
        <v>13</v>
      </c>
      <c r="N63" s="716">
        <f ca="1">IF(E63&lt;0,0,IF(M63&lt;&gt;E63,OFFSET(D62,M63,1,1,1),E63))</f>
        <v>1250</v>
      </c>
    </row>
    <row r="64" spans="2:14">
      <c r="B64" s="695">
        <f ca="1">IF(Calc!BT144&gt;$M$4,$M$4,Calc!BT144)</f>
        <v>858.06666666666661</v>
      </c>
      <c r="C64" s="691">
        <f ca="1">IF(Calc!BV144&lt;0,0,IF(Calc!BV144&lt;=$J$6,Calc!BV144,$J$6))</f>
        <v>1076</v>
      </c>
      <c r="D64" s="695">
        <f ca="1">IF(Calc!BZ144&lt;$M$3,Calc!BZ144,$M$3)</f>
        <v>257.41999999999996</v>
      </c>
      <c r="E64" s="691">
        <f ca="1">IF(Calc!CB144&lt;0,0,IF(Calc!CB144&lt;=$J$6,Calc!CB144,$J$6))</f>
        <v>1250</v>
      </c>
      <c r="F64" s="696">
        <f ca="1">Calc!BX144</f>
        <v>2.7600000000000002</v>
      </c>
      <c r="G64" s="691">
        <f t="shared" ref="G64:G114" ca="1" si="0">IF(AND(F64&gt;$F$60,G63&lt;&gt;0),1,0)</f>
        <v>1</v>
      </c>
      <c r="K64" s="691">
        <f ca="1">IF(G64=1,MATCH($K$61,G64:$G$113,0),C64)</f>
        <v>12</v>
      </c>
      <c r="L64" s="716">
        <f t="shared" ref="L64:L113" ca="1" si="1">IF(C64&lt;0,0,IF(K64&lt;&gt;C64,OFFSET(B63,K64,1,1,1),C64))</f>
        <v>841</v>
      </c>
      <c r="M64" s="691">
        <f ca="1">IF(G64=1,MATCH($K$61,G64:$G$113,0),E64)</f>
        <v>12</v>
      </c>
      <c r="N64" s="716">
        <f t="shared" ref="N64:N113" ca="1" si="2">IF(E64&lt;0,0,IF(M64&lt;&gt;E64,OFFSET(D63,M64,1,1,1),E64))</f>
        <v>1250</v>
      </c>
    </row>
    <row r="65" spans="2:14">
      <c r="B65" s="695">
        <f ca="1">IF(Calc!BT145&gt;$M$4,$M$4,Calc!BT145)</f>
        <v>870.8</v>
      </c>
      <c r="C65" s="691">
        <f ca="1">IF(Calc!BV145&lt;0,0,IF(Calc!BV145&lt;=$J$6,Calc!BV145,$J$6))</f>
        <v>1056</v>
      </c>
      <c r="D65" s="695">
        <f ca="1">IF(Calc!BZ145&lt;$M$3,Calc!BZ145,$M$3)</f>
        <v>261.24</v>
      </c>
      <c r="E65" s="691">
        <f ca="1">IF(Calc!CB145&lt;0,0,IF(Calc!CB145&lt;=$J$6,Calc!CB145,$J$6))</f>
        <v>1250</v>
      </c>
      <c r="F65" s="696">
        <f ca="1">Calc!BX145</f>
        <v>2.7194116923076921</v>
      </c>
      <c r="G65" s="691">
        <f t="shared" ca="1" si="0"/>
        <v>1</v>
      </c>
      <c r="K65" s="691">
        <f ca="1">IF(G65=1,MATCH($K$61,G65:$G$113,0),C65)</f>
        <v>11</v>
      </c>
      <c r="L65" s="716">
        <f t="shared" ca="1" si="1"/>
        <v>841</v>
      </c>
      <c r="M65" s="691">
        <f ca="1">IF(G65=1,MATCH($K$61,G65:$G$113,0),E65)</f>
        <v>11</v>
      </c>
      <c r="N65" s="716">
        <f t="shared" ca="1" si="2"/>
        <v>1250</v>
      </c>
    </row>
    <row r="66" spans="2:14">
      <c r="B66" s="695">
        <f ca="1">IF(Calc!BT146&gt;$M$4,$M$4,Calc!BT146)</f>
        <v>883.7833333333333</v>
      </c>
      <c r="C66" s="691">
        <f ca="1">IF(Calc!BV146&lt;0,0,IF(Calc!BV146&lt;=$J$6,Calc!BV146,$J$6))</f>
        <v>1036</v>
      </c>
      <c r="D66" s="695">
        <f ca="1">IF(Calc!BZ146&lt;$M$3,Calc!BZ146,$M$3)</f>
        <v>265.13499999999999</v>
      </c>
      <c r="E66" s="691">
        <f ca="1">IF(Calc!CB146&lt;0,0,IF(Calc!CB146&lt;=$J$6,Calc!CB146,$J$6))</f>
        <v>1250</v>
      </c>
      <c r="F66" s="696">
        <f ca="1">Calc!BX146</f>
        <v>2.6782269890109891</v>
      </c>
      <c r="G66" s="691">
        <f t="shared" ca="1" si="0"/>
        <v>1</v>
      </c>
      <c r="K66" s="691">
        <f ca="1">IF(G66=1,MATCH($K$61,G66:$G$113,0),C66)</f>
        <v>10</v>
      </c>
      <c r="L66" s="716">
        <f t="shared" ca="1" si="1"/>
        <v>841</v>
      </c>
      <c r="M66" s="691">
        <f ca="1">IF(G66=1,MATCH($K$61,G66:$G$113,0),E66)</f>
        <v>10</v>
      </c>
      <c r="N66" s="716">
        <f t="shared" ca="1" si="2"/>
        <v>1250</v>
      </c>
    </row>
    <row r="67" spans="2:14">
      <c r="B67" s="695">
        <f ca="1">IF(Calc!BT147&gt;$M$4,$M$4,Calc!BT147)</f>
        <v>897.01666666666665</v>
      </c>
      <c r="C67" s="691">
        <f ca="1">IF(Calc!BV147&lt;0,0,IF(Calc!BV147&lt;=$J$6,Calc!BV147,$J$6))</f>
        <v>1015</v>
      </c>
      <c r="D67" s="695">
        <f ca="1">IF(Calc!BZ147&lt;$M$3,Calc!BZ147,$M$3)</f>
        <v>269.10500000000002</v>
      </c>
      <c r="E67" s="691">
        <f ca="1">IF(Calc!CB147&lt;0,0,IF(Calc!CB147&lt;=$J$6,Calc!CB147,$J$6))</f>
        <v>1250</v>
      </c>
      <c r="F67" s="696">
        <f ca="1">Calc!BX147</f>
        <v>2.6364458901098904</v>
      </c>
      <c r="G67" s="691">
        <f t="shared" ca="1" si="0"/>
        <v>1</v>
      </c>
      <c r="K67" s="691">
        <f ca="1">IF(G67=1,MATCH($K$61,G67:$G$113,0),C67)</f>
        <v>9</v>
      </c>
      <c r="L67" s="716">
        <f t="shared" ca="1" si="1"/>
        <v>841</v>
      </c>
      <c r="M67" s="691">
        <f ca="1">IF(G67=1,MATCH($K$61,G67:$G$113,0),E67)</f>
        <v>9</v>
      </c>
      <c r="N67" s="716">
        <f t="shared" ca="1" si="2"/>
        <v>1250</v>
      </c>
    </row>
    <row r="68" spans="2:14">
      <c r="B68" s="695">
        <f ca="1">IF(Calc!BT148&gt;$M$4,$M$4,Calc!BT148)</f>
        <v>910.51666666666677</v>
      </c>
      <c r="C68" s="691">
        <f ca="1">IF(Calc!BV148&lt;0,0,IF(Calc!BV148&lt;=$J$6,Calc!BV148,$J$6))</f>
        <v>995</v>
      </c>
      <c r="D68" s="695">
        <f ca="1">IF(Calc!BZ148&lt;$M$3,Calc!BZ148,$M$3)</f>
        <v>273.15500000000003</v>
      </c>
      <c r="E68" s="691">
        <f ca="1">IF(Calc!CB148&lt;0,0,IF(Calc!CB148&lt;=$J$6,Calc!CB148,$J$6))</f>
        <v>1250</v>
      </c>
      <c r="F68" s="696">
        <f ca="1">Calc!BX148</f>
        <v>2.5940683956043955</v>
      </c>
      <c r="G68" s="691">
        <f t="shared" ca="1" si="0"/>
        <v>1</v>
      </c>
      <c r="K68" s="691">
        <f ca="1">IF(G68=1,MATCH($K$61,G68:$G$113,0),C68)</f>
        <v>8</v>
      </c>
      <c r="L68" s="716">
        <f t="shared" ca="1" si="1"/>
        <v>841</v>
      </c>
      <c r="M68" s="691">
        <f ca="1">IF(G68=1,MATCH($K$61,G68:$G$113,0),E68)</f>
        <v>8</v>
      </c>
      <c r="N68" s="716">
        <f t="shared" ca="1" si="2"/>
        <v>1250</v>
      </c>
    </row>
    <row r="69" spans="2:14">
      <c r="B69" s="695">
        <f ca="1">IF(Calc!BT149&gt;$M$4,$M$4,Calc!BT149)</f>
        <v>924.2833333333333</v>
      </c>
      <c r="C69" s="691">
        <f ca="1">IF(Calc!BV149&lt;0,0,IF(Calc!BV149&lt;=$J$6,Calc!BV149,$J$6))</f>
        <v>974</v>
      </c>
      <c r="D69" s="695">
        <f ca="1">IF(Calc!BZ149&lt;$M$3,Calc!BZ149,$M$3)</f>
        <v>277.28499999999997</v>
      </c>
      <c r="E69" s="691">
        <f ca="1">IF(Calc!CB149&lt;0,0,IF(Calc!CB149&lt;=$J$6,Calc!CB149,$J$6))</f>
        <v>1250</v>
      </c>
      <c r="F69" s="696">
        <f ca="1">Calc!BX149</f>
        <v>2.5510945054945053</v>
      </c>
      <c r="G69" s="691">
        <f t="shared" ca="1" si="0"/>
        <v>1</v>
      </c>
      <c r="K69" s="691">
        <f ca="1">IF(G69=1,MATCH($K$61,G69:$G$113,0),C69)</f>
        <v>7</v>
      </c>
      <c r="L69" s="716">
        <f t="shared" ca="1" si="1"/>
        <v>841</v>
      </c>
      <c r="M69" s="691">
        <f ca="1">IF(G69=1,MATCH($K$61,G69:$G$113,0),E69)</f>
        <v>7</v>
      </c>
      <c r="N69" s="716">
        <f t="shared" ca="1" si="2"/>
        <v>1250</v>
      </c>
    </row>
    <row r="70" spans="2:14">
      <c r="B70" s="695">
        <f ca="1">IF(Calc!BT150&gt;$M$4,$M$4,Calc!BT150)</f>
        <v>938.33333333333326</v>
      </c>
      <c r="C70" s="691">
        <f ca="1">IF(Calc!BV150&lt;0,0,IF(Calc!BV150&lt;=$J$6,Calc!BV150,$J$6))</f>
        <v>952</v>
      </c>
      <c r="D70" s="695">
        <f ca="1">IF(Calc!BZ150&lt;$M$3,Calc!BZ150,$M$3)</f>
        <v>281.5</v>
      </c>
      <c r="E70" s="691">
        <f ca="1">IF(Calc!CB150&lt;0,0,IF(Calc!CB150&lt;=$J$6,Calc!CB150,$J$6))</f>
        <v>1250</v>
      </c>
      <c r="F70" s="696">
        <f ca="1">Calc!BX150</f>
        <v>2.5075242197802194</v>
      </c>
      <c r="G70" s="691">
        <f t="shared" ca="1" si="0"/>
        <v>1</v>
      </c>
      <c r="K70" s="691">
        <f ca="1">IF(G70=1,MATCH($K$61,G70:$G$113,0),C70)</f>
        <v>6</v>
      </c>
      <c r="L70" s="716">
        <f t="shared" ca="1" si="1"/>
        <v>841</v>
      </c>
      <c r="M70" s="691">
        <f ca="1">IF(G70=1,MATCH($K$61,G70:$G$113,0),E70)</f>
        <v>6</v>
      </c>
      <c r="N70" s="716">
        <f t="shared" ca="1" si="2"/>
        <v>1250</v>
      </c>
    </row>
    <row r="71" spans="2:14">
      <c r="B71" s="695">
        <f ca="1">IF(Calc!BT151&gt;$M$4,$M$4,Calc!BT151)</f>
        <v>952.63333333333333</v>
      </c>
      <c r="C71" s="691">
        <f ca="1">IF(Calc!BV151&lt;0,0,IF(Calc!BV151&lt;=$J$6,Calc!BV151,$J$6))</f>
        <v>931</v>
      </c>
      <c r="D71" s="695">
        <f ca="1">IF(Calc!BZ151&lt;$M$3,Calc!BZ151,$M$3)</f>
        <v>285.79000000000002</v>
      </c>
      <c r="E71" s="691">
        <f ca="1">IF(Calc!CB151&lt;0,0,IF(Calc!CB151&lt;=$J$6,Calc!CB151,$J$6))</f>
        <v>1250</v>
      </c>
      <c r="F71" s="696">
        <f ca="1">Calc!BX151</f>
        <v>2.4633575384615383</v>
      </c>
      <c r="G71" s="691">
        <f t="shared" ca="1" si="0"/>
        <v>1</v>
      </c>
      <c r="K71" s="691">
        <f ca="1">IF(G71=1,MATCH($K$61,G71:$G$113,0),C71)</f>
        <v>5</v>
      </c>
      <c r="L71" s="716">
        <f t="shared" ca="1" si="1"/>
        <v>841</v>
      </c>
      <c r="M71" s="691">
        <f ca="1">IF(G71=1,MATCH($K$61,G71:$G$113,0),E71)</f>
        <v>5</v>
      </c>
      <c r="N71" s="716">
        <f t="shared" ca="1" si="2"/>
        <v>1250</v>
      </c>
    </row>
    <row r="72" spans="2:14">
      <c r="B72" s="695">
        <f ca="1">IF(Calc!BT152&gt;$M$4,$M$4,Calc!BT152)</f>
        <v>967.2166666666667</v>
      </c>
      <c r="C72" s="691">
        <f ca="1">IF(Calc!BV152&lt;0,0,IF(Calc!BV152&lt;=$J$6,Calc!BV152,$J$6))</f>
        <v>909</v>
      </c>
      <c r="D72" s="695">
        <f ca="1">IF(Calc!BZ152&lt;$M$3,Calc!BZ152,$M$3)</f>
        <v>290.16499999999996</v>
      </c>
      <c r="E72" s="691">
        <f ca="1">IF(Calc!CB152&lt;0,0,IF(Calc!CB152&lt;=$J$6,Calc!CB152,$J$6))</f>
        <v>1250</v>
      </c>
      <c r="F72" s="696">
        <f ca="1">Calc!BX152</f>
        <v>2.4185944615384618</v>
      </c>
      <c r="G72" s="691">
        <f t="shared" ca="1" si="0"/>
        <v>1</v>
      </c>
      <c r="K72" s="691">
        <f ca="1">IF(G72=1,MATCH($K$61,G72:$G$113,0),C72)</f>
        <v>4</v>
      </c>
      <c r="L72" s="716">
        <f t="shared" ca="1" si="1"/>
        <v>841</v>
      </c>
      <c r="M72" s="691">
        <f ca="1">IF(G72=1,MATCH($K$61,G72:$G$113,0),E72)</f>
        <v>4</v>
      </c>
      <c r="N72" s="716">
        <f t="shared" ca="1" si="2"/>
        <v>1250</v>
      </c>
    </row>
    <row r="73" spans="2:14">
      <c r="B73" s="695">
        <f ca="1">IF(Calc!BT153&gt;$M$4,$M$4,Calc!BT153)</f>
        <v>982.06666666666661</v>
      </c>
      <c r="C73" s="691">
        <f ca="1">IF(Calc!BV153&lt;0,0,IF(Calc!BV153&lt;=$J$6,Calc!BV153,$J$6))</f>
        <v>887</v>
      </c>
      <c r="D73" s="695">
        <f ca="1">IF(Calc!BZ153&lt;$M$3,Calc!BZ153,$M$3)</f>
        <v>294.62</v>
      </c>
      <c r="E73" s="691">
        <f ca="1">IF(Calc!CB153&lt;0,0,IF(Calc!CB153&lt;=$J$6,Calc!CB153,$J$6))</f>
        <v>1250</v>
      </c>
      <c r="F73" s="696">
        <f ca="1">Calc!BX153</f>
        <v>2.3732349890109892</v>
      </c>
      <c r="G73" s="691">
        <f t="shared" ca="1" si="0"/>
        <v>1</v>
      </c>
      <c r="K73" s="691">
        <f ca="1">IF(G73=1,MATCH($K$61,G73:$G$113,0),C73)</f>
        <v>3</v>
      </c>
      <c r="L73" s="716">
        <f t="shared" ca="1" si="1"/>
        <v>841</v>
      </c>
      <c r="M73" s="691">
        <f ca="1">IF(G73=1,MATCH($K$61,G73:$G$113,0),E73)</f>
        <v>3</v>
      </c>
      <c r="N73" s="716">
        <f t="shared" ca="1" si="2"/>
        <v>1250</v>
      </c>
    </row>
    <row r="74" spans="2:14">
      <c r="B74" s="695">
        <f ca="1">IF(Calc!BT154&gt;$M$4,$M$4,Calc!BT154)</f>
        <v>997.2</v>
      </c>
      <c r="C74" s="691">
        <f ca="1">IF(Calc!BV154&lt;0,0,IF(Calc!BV154&lt;=$J$6,Calc!BV154,$J$6))</f>
        <v>864</v>
      </c>
      <c r="D74" s="695">
        <f ca="1">IF(Calc!BZ154&lt;$M$3,Calc!BZ154,$M$3)</f>
        <v>299.15999999999997</v>
      </c>
      <c r="E74" s="691">
        <f ca="1">IF(Calc!CB154&lt;0,0,IF(Calc!CB154&lt;=$J$6,Calc!CB154,$J$6))</f>
        <v>1250</v>
      </c>
      <c r="F74" s="696">
        <f ca="1">Calc!BX154</f>
        <v>2.3272791208791213</v>
      </c>
      <c r="G74" s="691">
        <f t="shared" ca="1" si="0"/>
        <v>1</v>
      </c>
      <c r="K74" s="691">
        <f ca="1">IF(G74=1,MATCH($K$61,G74:$G$113,0),C74)</f>
        <v>2</v>
      </c>
      <c r="L74" s="716">
        <f t="shared" ca="1" si="1"/>
        <v>841</v>
      </c>
      <c r="M74" s="691">
        <f ca="1">IF(G74=1,MATCH($K$61,G74:$G$113,0),E74)</f>
        <v>2</v>
      </c>
      <c r="N74" s="716">
        <f t="shared" ca="1" si="2"/>
        <v>1250</v>
      </c>
    </row>
    <row r="75" spans="2:14">
      <c r="B75" s="695">
        <f ca="1">IF(Calc!BT155&gt;$M$4,$M$4,Calc!BT155)</f>
        <v>1012.6</v>
      </c>
      <c r="C75" s="691">
        <f ca="1">IF(Calc!BV155&lt;0,0,IF(Calc!BV155&lt;=$J$6,Calc!BV155,$J$6))</f>
        <v>841</v>
      </c>
      <c r="D75" s="695">
        <f ca="1">IF(Calc!BZ155&lt;$M$3,Calc!BZ155,$M$3)</f>
        <v>303.78000000000003</v>
      </c>
      <c r="E75" s="691">
        <f ca="1">IF(Calc!CB155&lt;0,0,IF(Calc!CB155&lt;=$J$6,Calc!CB155,$J$6))</f>
        <v>1250</v>
      </c>
      <c r="F75" s="696">
        <f ca="1">Calc!BX155</f>
        <v>2.2807268571428576</v>
      </c>
      <c r="G75" s="691">
        <f t="shared" ca="1" si="0"/>
        <v>0</v>
      </c>
      <c r="K75" s="691">
        <f ca="1">IF(G75=1,MATCH($K$61,G75:$G$113,0),C75)</f>
        <v>841</v>
      </c>
      <c r="L75" s="716">
        <f t="shared" ca="1" si="1"/>
        <v>841</v>
      </c>
      <c r="M75" s="691">
        <f ca="1">IF(G75=1,MATCH($K$61,G75:$G$113,0),E75)</f>
        <v>1250</v>
      </c>
      <c r="N75" s="716">
        <f t="shared" ca="1" si="2"/>
        <v>1250</v>
      </c>
    </row>
    <row r="76" spans="2:14">
      <c r="B76" s="695">
        <f ca="1">IF(Calc!BT156&gt;$M$4,$M$4,Calc!BT156)</f>
        <v>1028.2833333333333</v>
      </c>
      <c r="C76" s="691">
        <f ca="1">IF(Calc!BV156&lt;0,0,IF(Calc!BV156&lt;=$J$6,Calc!BV156,$J$6))</f>
        <v>818</v>
      </c>
      <c r="D76" s="695">
        <f ca="1">IF(Calc!BZ156&lt;$M$3,Calc!BZ156,$M$3)</f>
        <v>308.48500000000001</v>
      </c>
      <c r="E76" s="691">
        <f ca="1">IF(Calc!CB156&lt;0,0,IF(Calc!CB156&lt;=$J$6,Calc!CB156,$J$6))</f>
        <v>1250</v>
      </c>
      <c r="F76" s="696">
        <f ca="1">Calc!BX156</f>
        <v>2.2335781978021974</v>
      </c>
      <c r="G76" s="691">
        <f t="shared" ca="1" si="0"/>
        <v>0</v>
      </c>
      <c r="K76" s="691">
        <f ca="1">IF(G76=1,MATCH($K$61,G76:$G$113,0),C76)</f>
        <v>818</v>
      </c>
      <c r="L76" s="716">
        <f t="shared" ca="1" si="1"/>
        <v>818</v>
      </c>
      <c r="M76" s="691">
        <f ca="1">IF(G76=1,MATCH($K$61,G76:$G$113,0),E76)</f>
        <v>1250</v>
      </c>
      <c r="N76" s="716">
        <f t="shared" ca="1" si="2"/>
        <v>1250</v>
      </c>
    </row>
    <row r="77" spans="2:14">
      <c r="B77" s="695">
        <f ca="1">IF(Calc!BT157&gt;$M$4,$M$4,Calc!BT157)</f>
        <v>1044.25</v>
      </c>
      <c r="C77" s="691">
        <f ca="1">IF(Calc!BV157&lt;0,0,IF(Calc!BV157&lt;=$J$6,Calc!BV157,$J$6))</f>
        <v>795</v>
      </c>
      <c r="D77" s="695">
        <f ca="1">IF(Calc!BZ157&lt;$M$3,Calc!BZ157,$M$3)</f>
        <v>313.27499999999998</v>
      </c>
      <c r="E77" s="691">
        <f ca="1">IF(Calc!CB157&lt;0,0,IF(Calc!CB157&lt;=$J$6,Calc!CB157,$J$6))</f>
        <v>1250</v>
      </c>
      <c r="F77" s="696">
        <f ca="1">Calc!BX157</f>
        <v>2.1858331428571427</v>
      </c>
      <c r="G77" s="691">
        <f t="shared" ca="1" si="0"/>
        <v>0</v>
      </c>
      <c r="K77" s="691">
        <f ca="1">IF(G77=1,MATCH($K$61,G77:$G$113,0),C77)</f>
        <v>795</v>
      </c>
      <c r="L77" s="716">
        <f t="shared" ca="1" si="1"/>
        <v>795</v>
      </c>
      <c r="M77" s="691">
        <f ca="1">IF(G77=1,MATCH($K$61,G77:$G$113,0),E77)</f>
        <v>1250</v>
      </c>
      <c r="N77" s="716">
        <f t="shared" ca="1" si="2"/>
        <v>1250</v>
      </c>
    </row>
    <row r="78" spans="2:14">
      <c r="B78" s="695">
        <f ca="1">IF(Calc!BT158&gt;$M$4,$M$4,Calc!BT158)</f>
        <v>1060.4833333333333</v>
      </c>
      <c r="C78" s="691">
        <f ca="1">IF(Calc!BV158&lt;0,0,IF(Calc!BV158&lt;=$J$6,Calc!BV158,$J$6))</f>
        <v>771</v>
      </c>
      <c r="D78" s="695">
        <f ca="1">IF(Calc!BZ158&lt;$M$3,Calc!BZ158,$M$3)</f>
        <v>318.14499999999998</v>
      </c>
      <c r="E78" s="691">
        <f ca="1">IF(Calc!CB158&lt;0,0,IF(Calc!CB158&lt;=$J$6,Calc!CB158,$J$6))</f>
        <v>1250</v>
      </c>
      <c r="F78" s="696">
        <f ca="1">Calc!BX158</f>
        <v>2.1374916923076923</v>
      </c>
      <c r="G78" s="691">
        <f t="shared" ca="1" si="0"/>
        <v>0</v>
      </c>
      <c r="K78" s="691">
        <f ca="1">IF(G78=1,MATCH($K$61,G78:$G$113,0),C78)</f>
        <v>771</v>
      </c>
      <c r="L78" s="716">
        <f t="shared" ca="1" si="1"/>
        <v>771</v>
      </c>
      <c r="M78" s="691">
        <f ca="1">IF(G78=1,MATCH($K$61,G78:$G$113,0),E78)</f>
        <v>1250</v>
      </c>
      <c r="N78" s="716">
        <f t="shared" ca="1" si="2"/>
        <v>1250</v>
      </c>
    </row>
    <row r="79" spans="2:14">
      <c r="B79" s="695">
        <f ca="1">IF(Calc!BT159&gt;$M$4,$M$4,Calc!BT159)</f>
        <v>1076.9833333333331</v>
      </c>
      <c r="C79" s="691">
        <f ca="1">IF(Calc!BV159&lt;0,0,IF(Calc!BV159&lt;=$J$6,Calc!BV159,$J$6))</f>
        <v>747</v>
      </c>
      <c r="D79" s="695">
        <f ca="1">IF(Calc!BZ159&lt;$M$3,Calc!BZ159,$M$3)</f>
        <v>323.09499999999997</v>
      </c>
      <c r="E79" s="691">
        <f ca="1">IF(Calc!CB159&lt;0,0,IF(Calc!CB159&lt;=$J$6,Calc!CB159,$J$6))</f>
        <v>1250</v>
      </c>
      <c r="F79" s="696">
        <f ca="1">Calc!BX159</f>
        <v>2.0885538461538462</v>
      </c>
      <c r="G79" s="691">
        <f t="shared" ca="1" si="0"/>
        <v>0</v>
      </c>
      <c r="K79" s="691">
        <f ca="1">IF(G79=1,MATCH($K$61,G79:$G$113,0),C79)</f>
        <v>747</v>
      </c>
      <c r="L79" s="716">
        <f t="shared" ca="1" si="1"/>
        <v>747</v>
      </c>
      <c r="M79" s="691">
        <f ca="1">IF(G79=1,MATCH($K$61,G79:$G$113,0),E79)</f>
        <v>1250</v>
      </c>
      <c r="N79" s="716">
        <f t="shared" ca="1" si="2"/>
        <v>1250</v>
      </c>
    </row>
    <row r="80" spans="2:14">
      <c r="B80" s="695">
        <f ca="1">IF(Calc!BT160&gt;$M$4,$M$4,Calc!BT160)</f>
        <v>1093.75</v>
      </c>
      <c r="C80" s="691">
        <f ca="1">IF(Calc!BV160&lt;0,0,IF(Calc!BV160&lt;=$J$6,Calc!BV160,$J$6))</f>
        <v>723</v>
      </c>
      <c r="D80" s="695">
        <f ca="1">IF(Calc!BZ160&lt;$M$3,Calc!BZ160,$M$3)</f>
        <v>328.125</v>
      </c>
      <c r="E80" s="691">
        <f ca="1">IF(Calc!CB160&lt;0,0,IF(Calc!CB160&lt;=$J$6,Calc!CB160,$J$6))</f>
        <v>1250</v>
      </c>
      <c r="F80" s="696">
        <f ca="1">Calc!BX160</f>
        <v>2.0390196043956044</v>
      </c>
      <c r="G80" s="691">
        <f t="shared" ca="1" si="0"/>
        <v>0</v>
      </c>
      <c r="K80" s="691">
        <f ca="1">IF(G80=1,MATCH($K$61,G80:$G$113,0),C80)</f>
        <v>723</v>
      </c>
      <c r="L80" s="716">
        <f t="shared" ca="1" si="1"/>
        <v>723</v>
      </c>
      <c r="M80" s="691">
        <f ca="1">IF(G80=1,MATCH($K$61,G80:$G$113,0),E80)</f>
        <v>1250</v>
      </c>
      <c r="N80" s="716">
        <f t="shared" ca="1" si="2"/>
        <v>1250</v>
      </c>
    </row>
    <row r="81" spans="2:14">
      <c r="B81" s="695">
        <f ca="1">IF(Calc!BT161&gt;$M$4,$M$4,Calc!BT161)</f>
        <v>1110.7833333333333</v>
      </c>
      <c r="C81" s="691">
        <f ca="1">IF(Calc!BV161&lt;0,0,IF(Calc!BV161&lt;=$J$6,Calc!BV161,$J$6))</f>
        <v>698</v>
      </c>
      <c r="D81" s="695">
        <f ca="1">IF(Calc!BZ161&lt;$M$3,Calc!BZ161,$M$3)</f>
        <v>333.23500000000001</v>
      </c>
      <c r="E81" s="691">
        <f ca="1">IF(Calc!CB161&lt;0,0,IF(Calc!CB161&lt;=$J$6,Calc!CB161,$J$6))</f>
        <v>1250</v>
      </c>
      <c r="F81" s="696">
        <f ca="1">Calc!BX161</f>
        <v>1.9888889670329672</v>
      </c>
      <c r="G81" s="691">
        <f t="shared" ca="1" si="0"/>
        <v>0</v>
      </c>
      <c r="K81" s="691">
        <f ca="1">IF(G81=1,MATCH($K$61,G81:$G$113,0),C81)</f>
        <v>698</v>
      </c>
      <c r="L81" s="716">
        <f t="shared" ca="1" si="1"/>
        <v>698</v>
      </c>
      <c r="M81" s="691">
        <f ca="1">IF(G81=1,MATCH($K$61,G81:$G$113,0),E81)</f>
        <v>1250</v>
      </c>
      <c r="N81" s="716">
        <f t="shared" ca="1" si="2"/>
        <v>1250</v>
      </c>
    </row>
    <row r="82" spans="2:14">
      <c r="B82" s="695">
        <f ca="1">IF(Calc!BT162&gt;$M$4,$M$4,Calc!BT162)</f>
        <v>1128.0666666666666</v>
      </c>
      <c r="C82" s="691">
        <f ca="1">IF(Calc!BV162&lt;0,0,IF(Calc!BV162&lt;=$J$6,Calc!BV162,$J$6))</f>
        <v>673</v>
      </c>
      <c r="D82" s="695">
        <f ca="1">IF(Calc!BZ162&lt;$M$3,Calc!BZ162,$M$3)</f>
        <v>338.41999999999996</v>
      </c>
      <c r="E82" s="691">
        <f ca="1">IF(Calc!CB162&lt;0,0,IF(Calc!CB162&lt;=$J$6,Calc!CB162,$J$6))</f>
        <v>1250</v>
      </c>
      <c r="F82" s="696">
        <f ca="1">Calc!BX162</f>
        <v>1.938161934065934</v>
      </c>
      <c r="G82" s="691">
        <f t="shared" ca="1" si="0"/>
        <v>0</v>
      </c>
      <c r="K82" s="691">
        <f ca="1">IF(G82=1,MATCH($K$61,G82:$G$113,0),C82)</f>
        <v>673</v>
      </c>
      <c r="L82" s="716">
        <f t="shared" ca="1" si="1"/>
        <v>673</v>
      </c>
      <c r="M82" s="691">
        <f ca="1">IF(G82=1,MATCH($K$61,G82:$G$113,0),E82)</f>
        <v>1250</v>
      </c>
      <c r="N82" s="716">
        <f t="shared" ca="1" si="2"/>
        <v>1250</v>
      </c>
    </row>
    <row r="83" spans="2:14">
      <c r="B83" s="695">
        <f ca="1">IF(Calc!BT163&gt;$M$4,$M$4,Calc!BT163)</f>
        <v>1145.5999999999999</v>
      </c>
      <c r="C83" s="691">
        <f ca="1">IF(Calc!BV163&lt;0,0,IF(Calc!BV163&lt;=$J$6,Calc!BV163,$J$6))</f>
        <v>648</v>
      </c>
      <c r="D83" s="695">
        <f ca="1">IF(Calc!BZ163&lt;$M$3,Calc!BZ163,$M$3)</f>
        <v>343.68</v>
      </c>
      <c r="E83" s="691">
        <f ca="1">IF(Calc!CB163&lt;0,0,IF(Calc!CB163&lt;=$J$6,Calc!CB163,$J$6))</f>
        <v>1250</v>
      </c>
      <c r="F83" s="696">
        <f ca="1">Calc!BX163</f>
        <v>1.8868385054945054</v>
      </c>
      <c r="G83" s="691">
        <f t="shared" ca="1" si="0"/>
        <v>0</v>
      </c>
      <c r="K83" s="691">
        <f ca="1">IF(G83=1,MATCH($K$61,G83:$G$113,0),C83)</f>
        <v>648</v>
      </c>
      <c r="L83" s="716">
        <f t="shared" ca="1" si="1"/>
        <v>648</v>
      </c>
      <c r="M83" s="691">
        <f ca="1">IF(G83=1,MATCH($K$61,G83:$G$113,0),E83)</f>
        <v>1250</v>
      </c>
      <c r="N83" s="716">
        <f t="shared" ca="1" si="2"/>
        <v>1250</v>
      </c>
    </row>
    <row r="84" spans="2:14">
      <c r="B84" s="695">
        <f ca="1">IF(Calc!BT164&gt;$M$4,$M$4,Calc!BT164)</f>
        <v>1163.3500000000001</v>
      </c>
      <c r="C84" s="691">
        <f ca="1">IF(Calc!BV164&lt;0,0,IF(Calc!BV164&lt;=$J$6,Calc!BV164,$J$6))</f>
        <v>623</v>
      </c>
      <c r="D84" s="695">
        <f ca="1">IF(Calc!BZ164&lt;$M$3,Calc!BZ164,$M$3)</f>
        <v>349.005</v>
      </c>
      <c r="E84" s="691">
        <f ca="1">IF(Calc!CB164&lt;0,0,IF(Calc!CB164&lt;=$J$6,Calc!CB164,$J$6))</f>
        <v>1250</v>
      </c>
      <c r="F84" s="696">
        <f ca="1">Calc!BX164</f>
        <v>1.8349186813186811</v>
      </c>
      <c r="G84" s="691">
        <f t="shared" ca="1" si="0"/>
        <v>0</v>
      </c>
      <c r="K84" s="691">
        <f ca="1">IF(G84=1,MATCH($K$61,G84:$G$113,0),C84)</f>
        <v>623</v>
      </c>
      <c r="L84" s="716">
        <f t="shared" ca="1" si="1"/>
        <v>623</v>
      </c>
      <c r="M84" s="691">
        <f ca="1">IF(G84=1,MATCH($K$61,G84:$G$113,0),E84)</f>
        <v>1250</v>
      </c>
      <c r="N84" s="716">
        <f t="shared" ca="1" si="2"/>
        <v>1250</v>
      </c>
    </row>
    <row r="85" spans="2:14">
      <c r="B85" s="695">
        <f ca="1">IF(Calc!BT165&gt;$M$4,$M$4,Calc!BT165)</f>
        <v>1181.3333333333335</v>
      </c>
      <c r="C85" s="691">
        <f ca="1">IF(Calc!BV165&lt;0,0,IF(Calc!BV165&lt;=$J$6,Calc!BV165,$J$6))</f>
        <v>597</v>
      </c>
      <c r="D85" s="695">
        <f ca="1">IF(Calc!BZ165&lt;$M$3,Calc!BZ165,$M$3)</f>
        <v>354.40000000000003</v>
      </c>
      <c r="E85" s="691">
        <f ca="1">IF(Calc!CB165&lt;0,0,IF(Calc!CB165&lt;=$J$6,Calc!CB165,$J$6))</f>
        <v>1250</v>
      </c>
      <c r="F85" s="696">
        <f ca="1">Calc!BX165</f>
        <v>1.7824024615384615</v>
      </c>
      <c r="G85" s="691">
        <f t="shared" ca="1" si="0"/>
        <v>0</v>
      </c>
      <c r="K85" s="691">
        <f ca="1">IF(G85=1,MATCH($K$61,G85:$G$113,0),C85)</f>
        <v>597</v>
      </c>
      <c r="L85" s="716">
        <f t="shared" ca="1" si="1"/>
        <v>597</v>
      </c>
      <c r="M85" s="691">
        <f ca="1">IF(G85=1,MATCH($K$61,G85:$G$113,0),E85)</f>
        <v>1250</v>
      </c>
      <c r="N85" s="716">
        <f t="shared" ca="1" si="2"/>
        <v>1250</v>
      </c>
    </row>
    <row r="86" spans="2:14">
      <c r="B86" s="695">
        <f ca="1">IF(Calc!BT166&gt;$M$4,$M$4,Calc!BT166)</f>
        <v>1199.5166666666667</v>
      </c>
      <c r="C86" s="691">
        <f ca="1">IF(Calc!BV166&lt;0,0,IF(Calc!BV166&lt;=$J$6,Calc!BV166,$J$6))</f>
        <v>571</v>
      </c>
      <c r="D86" s="695">
        <f ca="1">IF(Calc!BZ166&lt;$M$3,Calc!BZ166,$M$3)</f>
        <v>359.85500000000002</v>
      </c>
      <c r="E86" s="691">
        <f ca="1">IF(Calc!CB166&lt;0,0,IF(Calc!CB166&lt;=$J$6,Calc!CB166,$J$6))</f>
        <v>1250</v>
      </c>
      <c r="F86" s="696">
        <f ca="1">Calc!BX166</f>
        <v>1.7292898461538462</v>
      </c>
      <c r="G86" s="691">
        <f t="shared" ca="1" si="0"/>
        <v>0</v>
      </c>
      <c r="K86" s="691">
        <f ca="1">IF(G86=1,MATCH($K$61,G86:$G$113,0),C86)</f>
        <v>571</v>
      </c>
      <c r="L86" s="716">
        <f t="shared" ca="1" si="1"/>
        <v>571</v>
      </c>
      <c r="M86" s="691">
        <f ca="1">IF(G86=1,MATCH($K$61,G86:$G$113,0),E86)</f>
        <v>1250</v>
      </c>
      <c r="N86" s="716">
        <f t="shared" ca="1" si="2"/>
        <v>1250</v>
      </c>
    </row>
    <row r="87" spans="2:14">
      <c r="B87" s="695">
        <f ca="1">IF(Calc!BT167&gt;$M$4,$M$4,Calc!BT167)</f>
        <v>1217.8999999999999</v>
      </c>
      <c r="C87" s="691">
        <f ca="1">IF(Calc!BV167&lt;0,0,IF(Calc!BV167&lt;=$J$6,Calc!BV167,$J$6))</f>
        <v>544</v>
      </c>
      <c r="D87" s="695">
        <f ca="1">IF(Calc!BZ167&lt;$M$3,Calc!BZ167,$M$3)</f>
        <v>365.37</v>
      </c>
      <c r="E87" s="691">
        <f ca="1">IF(Calc!CB167&lt;0,0,IF(Calc!CB167&lt;=$J$6,Calc!CB167,$J$6))</f>
        <v>1250</v>
      </c>
      <c r="F87" s="696">
        <f ca="1">Calc!BX167</f>
        <v>1.6755808351648354</v>
      </c>
      <c r="G87" s="691">
        <f t="shared" ca="1" si="0"/>
        <v>0</v>
      </c>
      <c r="K87" s="691">
        <f ca="1">IF(G87=1,MATCH($K$61,G87:$G$113,0),C87)</f>
        <v>544</v>
      </c>
      <c r="L87" s="716">
        <f t="shared" ca="1" si="1"/>
        <v>544</v>
      </c>
      <c r="M87" s="691">
        <f ca="1">IF(G87=1,MATCH($K$61,G87:$G$113,0),E87)</f>
        <v>1250</v>
      </c>
      <c r="N87" s="716">
        <f t="shared" ca="1" si="2"/>
        <v>1250</v>
      </c>
    </row>
    <row r="88" spans="2:14">
      <c r="B88" s="695">
        <f ca="1">IF(Calc!BT168&gt;$M$4,$M$4,Calc!BT168)</f>
        <v>1236.45</v>
      </c>
      <c r="C88" s="691">
        <f ca="1">IF(Calc!BV168&lt;0,0,IF(Calc!BV168&lt;=$J$6,Calc!BV168,$J$6))</f>
        <v>518</v>
      </c>
      <c r="D88" s="695">
        <f ca="1">IF(Calc!BZ168&lt;$M$3,Calc!BZ168,$M$3)</f>
        <v>370.935</v>
      </c>
      <c r="E88" s="691">
        <f ca="1">IF(Calc!CB168&lt;0,0,IF(Calc!CB168&lt;=$J$6,Calc!CB168,$J$6))</f>
        <v>1250</v>
      </c>
      <c r="F88" s="696">
        <f ca="1">Calc!BX168</f>
        <v>1.6212754285714288</v>
      </c>
      <c r="G88" s="691">
        <f t="shared" ca="1" si="0"/>
        <v>0</v>
      </c>
      <c r="K88" s="691">
        <f ca="1">IF(G88=1,MATCH($K$61,G88:$G$113,0),C88)</f>
        <v>518</v>
      </c>
      <c r="L88" s="716">
        <f t="shared" ca="1" si="1"/>
        <v>518</v>
      </c>
      <c r="M88" s="691">
        <f ca="1">IF(G88=1,MATCH($K$61,G88:$G$113,0),E88)</f>
        <v>1250</v>
      </c>
      <c r="N88" s="716">
        <f t="shared" ca="1" si="2"/>
        <v>1250</v>
      </c>
    </row>
    <row r="89" spans="2:14">
      <c r="B89" s="695">
        <f ca="1">IF(Calc!BT169&gt;$M$4,$M$4,Calc!BT169)</f>
        <v>1255.1333333333334</v>
      </c>
      <c r="C89" s="691">
        <f ca="1">IF(Calc!BV169&lt;0,0,IF(Calc!BV169&lt;=$J$6,Calc!BV169,$J$6))</f>
        <v>491</v>
      </c>
      <c r="D89" s="695">
        <f ca="1">IF(Calc!BZ169&lt;$M$3,Calc!BZ169,$M$3)</f>
        <v>376.54</v>
      </c>
      <c r="E89" s="691">
        <f ca="1">IF(Calc!CB169&lt;0,0,IF(Calc!CB169&lt;=$J$6,Calc!CB169,$J$6))</f>
        <v>1250</v>
      </c>
      <c r="F89" s="696">
        <f ca="1">Calc!BX169</f>
        <v>1.5663736263736265</v>
      </c>
      <c r="G89" s="691">
        <f t="shared" ca="1" si="0"/>
        <v>0</v>
      </c>
      <c r="K89" s="691">
        <f ca="1">IF(G89=1,MATCH($K$61,G89:$G$113,0),C89)</f>
        <v>491</v>
      </c>
      <c r="L89" s="716">
        <f t="shared" ca="1" si="1"/>
        <v>491</v>
      </c>
      <c r="M89" s="691">
        <f ca="1">IF(G89=1,MATCH($K$61,G89:$G$113,0),E89)</f>
        <v>1250</v>
      </c>
      <c r="N89" s="716">
        <f t="shared" ca="1" si="2"/>
        <v>1250</v>
      </c>
    </row>
    <row r="90" spans="2:14">
      <c r="B90" s="695">
        <f ca="1">IF(Calc!BT170&gt;$M$4,$M$4,Calc!BT170)</f>
        <v>1273.95</v>
      </c>
      <c r="C90" s="691">
        <f ca="1">IF(Calc!BV170&lt;0,0,IF(Calc!BV170&lt;=$J$6,Calc!BV170,$J$6))</f>
        <v>464</v>
      </c>
      <c r="D90" s="695">
        <f ca="1">IF(Calc!BZ170&lt;$M$3,Calc!BZ170,$M$3)</f>
        <v>382.185</v>
      </c>
      <c r="E90" s="691">
        <f ca="1">IF(Calc!CB170&lt;0,0,IF(Calc!CB170&lt;=$J$6,Calc!CB170,$J$6))</f>
        <v>1250</v>
      </c>
      <c r="F90" s="696">
        <f ca="1">Calc!BX170</f>
        <v>1.5108754285714285</v>
      </c>
      <c r="G90" s="691">
        <f t="shared" ca="1" si="0"/>
        <v>0</v>
      </c>
      <c r="K90" s="691">
        <f ca="1">IF(G90=1,MATCH($K$61,G90:$G$113,0),C90)</f>
        <v>464</v>
      </c>
      <c r="L90" s="716">
        <f t="shared" ca="1" si="1"/>
        <v>464</v>
      </c>
      <c r="M90" s="691">
        <f ca="1">IF(G90=1,MATCH($K$61,G90:$G$113,0),E90)</f>
        <v>1250</v>
      </c>
      <c r="N90" s="716">
        <f t="shared" ca="1" si="2"/>
        <v>1250</v>
      </c>
    </row>
    <row r="91" spans="2:14">
      <c r="B91" s="695">
        <f ca="1">IF(Calc!BT171&gt;$M$4,$M$4,Calc!BT171)</f>
        <v>1292.8666666666666</v>
      </c>
      <c r="C91" s="691">
        <f ca="1">IF(Calc!BV171&lt;0,0,IF(Calc!BV171&lt;=$J$6,Calc!BV171,$J$6))</f>
        <v>436</v>
      </c>
      <c r="D91" s="695">
        <f ca="1">IF(Calc!BZ171&lt;$M$3,Calc!BZ171,$M$3)</f>
        <v>387.86</v>
      </c>
      <c r="E91" s="691">
        <f ca="1">IF(Calc!CB171&lt;0,0,IF(Calc!CB171&lt;=$J$6,Calc!CB171,$J$6))</f>
        <v>1250</v>
      </c>
      <c r="F91" s="696">
        <f ca="1">Calc!BX171</f>
        <v>1.4547808351648353</v>
      </c>
      <c r="G91" s="691">
        <f t="shared" ca="1" si="0"/>
        <v>0</v>
      </c>
      <c r="K91" s="691">
        <f ca="1">IF(G91=1,MATCH($K$61,G91:$G$113,0),C91)</f>
        <v>436</v>
      </c>
      <c r="L91" s="716">
        <f t="shared" ca="1" si="1"/>
        <v>436</v>
      </c>
      <c r="M91" s="691">
        <f ca="1">IF(G91=1,MATCH($K$61,G91:$G$113,0),E91)</f>
        <v>1250</v>
      </c>
      <c r="N91" s="716">
        <f t="shared" ca="1" si="2"/>
        <v>1250</v>
      </c>
    </row>
    <row r="92" spans="2:14">
      <c r="B92" s="695">
        <f ca="1">IF(Calc!BT172&gt;$M$4,$M$4,Calc!BT172)</f>
        <v>1311.85</v>
      </c>
      <c r="C92" s="691">
        <f ca="1">IF(Calc!BV172&lt;0,0,IF(Calc!BV172&lt;=$J$6,Calc!BV172,$J$6))</f>
        <v>408</v>
      </c>
      <c r="D92" s="695">
        <f ca="1">IF(Calc!BZ172&lt;$M$3,Calc!BZ172,$M$3)</f>
        <v>393.55500000000001</v>
      </c>
      <c r="E92" s="691">
        <f ca="1">IF(Calc!CB172&lt;0,0,IF(Calc!CB172&lt;=$J$6,Calc!CB172,$J$6))</f>
        <v>1250</v>
      </c>
      <c r="F92" s="696">
        <f ca="1">Calc!BX172</f>
        <v>1.398089846153846</v>
      </c>
      <c r="G92" s="691">
        <f t="shared" ca="1" si="0"/>
        <v>0</v>
      </c>
      <c r="K92" s="691">
        <f ca="1">IF(G92=1,MATCH($K$61,G92:$G$113,0),C92)</f>
        <v>408</v>
      </c>
      <c r="L92" s="716">
        <f t="shared" ca="1" si="1"/>
        <v>408</v>
      </c>
      <c r="M92" s="691">
        <f ca="1">IF(G92=1,MATCH($K$61,G92:$G$113,0),E92)</f>
        <v>1250</v>
      </c>
      <c r="N92" s="716">
        <f t="shared" ca="1" si="2"/>
        <v>1250</v>
      </c>
    </row>
    <row r="93" spans="2:14">
      <c r="B93" s="695">
        <f ca="1">IF(Calc!BT173&gt;$M$4,$M$4,Calc!BT173)</f>
        <v>1330.8666666666668</v>
      </c>
      <c r="C93" s="691">
        <f ca="1">IF(Calc!BV173&lt;0,0,IF(Calc!BV173&lt;=$J$6,Calc!BV173,$J$6))</f>
        <v>380</v>
      </c>
      <c r="D93" s="695">
        <f ca="1">IF(Calc!BZ173&lt;$M$3,Calc!BZ173,$M$3)</f>
        <v>399.26</v>
      </c>
      <c r="E93" s="691">
        <f ca="1">IF(Calc!CB173&lt;0,0,IF(Calc!CB173&lt;=$J$6,Calc!CB173,$J$6))</f>
        <v>1250</v>
      </c>
      <c r="F93" s="696">
        <f ca="1">Calc!BX173</f>
        <v>1.3408024615384615</v>
      </c>
      <c r="G93" s="691">
        <f t="shared" ca="1" si="0"/>
        <v>0</v>
      </c>
      <c r="K93" s="691">
        <f ca="1">IF(G93=1,MATCH($K$61,G93:$G$113,0),C93)</f>
        <v>380</v>
      </c>
      <c r="L93" s="716">
        <f t="shared" ca="1" si="1"/>
        <v>380</v>
      </c>
      <c r="M93" s="691">
        <f ca="1">IF(G93=1,MATCH($K$61,G93:$G$113,0),E93)</f>
        <v>1250</v>
      </c>
      <c r="N93" s="716">
        <f t="shared" ca="1" si="2"/>
        <v>1250</v>
      </c>
    </row>
    <row r="94" spans="2:14">
      <c r="B94" s="695">
        <f ca="1">IF(Calc!BT174&gt;$M$4,$M$4,Calc!BT174)</f>
        <v>1333.3333333333335</v>
      </c>
      <c r="C94" s="691">
        <f ca="1">IF(Calc!BV174&lt;0,0,IF(Calc!BV174&lt;=$J$6,Calc!BV174,$J$6))</f>
        <v>354</v>
      </c>
      <c r="D94" s="695">
        <f ca="1">IF(Calc!BZ174&lt;$M$3,Calc!BZ174,$M$3)</f>
        <v>400</v>
      </c>
      <c r="E94" s="691">
        <f ca="1">IF(Calc!CB174&lt;0,0,IF(Calc!CB174&lt;=$J$6,Calc!CB174,$J$6))</f>
        <v>1250</v>
      </c>
      <c r="F94" s="696">
        <f ca="1">Calc!BX174</f>
        <v>1.2829186813186786</v>
      </c>
      <c r="G94" s="691">
        <f t="shared" ca="1" si="0"/>
        <v>0</v>
      </c>
      <c r="K94" s="691">
        <f ca="1">IF(G94=1,MATCH($K$61,G94:$G$113,0),C94)</f>
        <v>354</v>
      </c>
      <c r="L94" s="716">
        <f t="shared" ca="1" si="1"/>
        <v>354</v>
      </c>
      <c r="M94" s="691">
        <f ca="1">IF(G94=1,MATCH($K$61,G94:$G$113,0),E94)</f>
        <v>1250</v>
      </c>
      <c r="N94" s="716">
        <f t="shared" ca="1" si="2"/>
        <v>1250</v>
      </c>
    </row>
    <row r="95" spans="2:14">
      <c r="B95" s="695">
        <f ca="1">IF(Calc!BT175&gt;$M$4,$M$4,Calc!BT175)</f>
        <v>1333.3333333333335</v>
      </c>
      <c r="C95" s="691">
        <f ca="1">IF(Calc!BV175&lt;0,0,IF(Calc!BV175&lt;=$J$6,Calc!BV175,$J$6))</f>
        <v>327</v>
      </c>
      <c r="D95" s="695">
        <f ca="1">IF(Calc!BZ175&lt;$M$3,Calc!BZ175,$M$3)</f>
        <v>400</v>
      </c>
      <c r="E95" s="691">
        <f ca="1">IF(Calc!CB175&lt;0,0,IF(Calc!CB175&lt;=$J$6,Calc!CB175,$J$6))</f>
        <v>1250</v>
      </c>
      <c r="F95" s="696">
        <f ca="1">Calc!BX175</f>
        <v>1.2244385054945026</v>
      </c>
      <c r="G95" s="691">
        <f t="shared" ca="1" si="0"/>
        <v>0</v>
      </c>
      <c r="K95" s="691">
        <f ca="1">IF(G95=1,MATCH($K$61,G95:$G$113,0),C95)</f>
        <v>327</v>
      </c>
      <c r="L95" s="716">
        <f t="shared" ca="1" si="1"/>
        <v>327</v>
      </c>
      <c r="M95" s="691">
        <f ca="1">IF(G95=1,MATCH($K$61,G95:$G$113,0),E95)</f>
        <v>1250</v>
      </c>
      <c r="N95" s="716">
        <f t="shared" ca="1" si="2"/>
        <v>1250</v>
      </c>
    </row>
    <row r="96" spans="2:14">
      <c r="B96" s="695">
        <f ca="1">IF(Calc!BT176&gt;$M$4,$M$4,Calc!BT176)</f>
        <v>1333.3333333333335</v>
      </c>
      <c r="C96" s="691">
        <f ca="1">IF(Calc!BV176&lt;0,0,IF(Calc!BV176&lt;=$J$6,Calc!BV176,$J$6))</f>
        <v>301</v>
      </c>
      <c r="D96" s="695">
        <f ca="1">IF(Calc!BZ176&lt;$M$3,Calc!BZ176,$M$3)</f>
        <v>400</v>
      </c>
      <c r="E96" s="691">
        <f ca="1">IF(Calc!CB176&lt;0,0,IF(Calc!CB176&lt;=$J$6,Calc!CB176,$J$6))</f>
        <v>1250</v>
      </c>
      <c r="F96" s="696">
        <f ca="1">Calc!BX176</f>
        <v>1.1653619340659311</v>
      </c>
      <c r="G96" s="691">
        <f t="shared" ca="1" si="0"/>
        <v>0</v>
      </c>
      <c r="K96" s="691">
        <f ca="1">IF(G96=1,MATCH($K$61,G96:$G$113,0),C96)</f>
        <v>301</v>
      </c>
      <c r="L96" s="716">
        <f t="shared" ca="1" si="1"/>
        <v>301</v>
      </c>
      <c r="M96" s="691">
        <f ca="1">IF(G96=1,MATCH($K$61,G96:$G$113,0),E96)</f>
        <v>1250</v>
      </c>
      <c r="N96" s="716">
        <f t="shared" ca="1" si="2"/>
        <v>1250</v>
      </c>
    </row>
    <row r="97" spans="2:14">
      <c r="B97" s="695">
        <f ca="1">IF(Calc!BT177&gt;$M$4,$M$4,Calc!BT177)</f>
        <v>1333.3333333333335</v>
      </c>
      <c r="C97" s="691">
        <f ca="1">IF(Calc!BV177&lt;0,0,IF(Calc!BV177&lt;=$J$6,Calc!BV177,$J$6))</f>
        <v>274</v>
      </c>
      <c r="D97" s="695">
        <f ca="1">IF(Calc!BZ177&lt;$M$3,Calc!BZ177,$M$3)</f>
        <v>400</v>
      </c>
      <c r="E97" s="691">
        <f ca="1">IF(Calc!CB177&lt;0,0,IF(Calc!CB177&lt;=$J$6,Calc!CB177,$J$6))</f>
        <v>1250</v>
      </c>
      <c r="F97" s="696">
        <f ca="1">Calc!BX177</f>
        <v>1.1056889670329642</v>
      </c>
      <c r="G97" s="691">
        <f t="shared" ca="1" si="0"/>
        <v>0</v>
      </c>
      <c r="K97" s="691">
        <f ca="1">IF(G97=1,MATCH($K$61,G97:$G$113,0),C97)</f>
        <v>274</v>
      </c>
      <c r="L97" s="716">
        <f t="shared" ca="1" si="1"/>
        <v>274</v>
      </c>
      <c r="M97" s="691">
        <f ca="1">IF(G97=1,MATCH($K$61,G97:$G$113,0),E97)</f>
        <v>1250</v>
      </c>
      <c r="N97" s="716">
        <f t="shared" ca="1" si="2"/>
        <v>1250</v>
      </c>
    </row>
    <row r="98" spans="2:14">
      <c r="B98" s="695">
        <f ca="1">IF(Calc!BT178&gt;$M$4,$M$4,Calc!BT178)</f>
        <v>1333.3333333333335</v>
      </c>
      <c r="C98" s="691">
        <f ca="1">IF(Calc!BV178&lt;0,0,IF(Calc!BV178&lt;=$J$6,Calc!BV178,$J$6))</f>
        <v>246</v>
      </c>
      <c r="D98" s="695">
        <f ca="1">IF(Calc!BZ178&lt;$M$3,Calc!BZ178,$M$3)</f>
        <v>400</v>
      </c>
      <c r="E98" s="691">
        <f ca="1">IF(Calc!CB178&lt;0,0,IF(Calc!CB178&lt;=$J$6,Calc!CB178,$J$6))</f>
        <v>1250</v>
      </c>
      <c r="F98" s="696">
        <f ca="1">Calc!BX178</f>
        <v>1.0454196043956014</v>
      </c>
      <c r="G98" s="691">
        <f t="shared" ca="1" si="0"/>
        <v>0</v>
      </c>
      <c r="K98" s="691">
        <f ca="1">IF(G98=1,MATCH($K$61,G98:$G$113,0),C98)</f>
        <v>246</v>
      </c>
      <c r="L98" s="716">
        <f t="shared" ca="1" si="1"/>
        <v>246</v>
      </c>
      <c r="M98" s="691">
        <f ca="1">IF(G98=1,MATCH($K$61,G98:$G$113,0),E98)</f>
        <v>1250</v>
      </c>
      <c r="N98" s="716">
        <f t="shared" ca="1" si="2"/>
        <v>1250</v>
      </c>
    </row>
    <row r="99" spans="2:14">
      <c r="B99" s="695">
        <f ca="1">IF(Calc!BT179&gt;$M$4,$M$4,Calc!BT179)</f>
        <v>1333.3333333333335</v>
      </c>
      <c r="C99" s="691">
        <f ca="1">IF(Calc!BV179&lt;0,0,IF(Calc!BV179&lt;=$J$6,Calc!BV179,$J$6))</f>
        <v>219</v>
      </c>
      <c r="D99" s="695">
        <f ca="1">IF(Calc!BZ179&lt;$M$3,Calc!BZ179,$M$3)</f>
        <v>400</v>
      </c>
      <c r="E99" s="691">
        <f ca="1">IF(Calc!CB179&lt;0,0,IF(Calc!CB179&lt;=$J$6,Calc!CB179,$J$6))</f>
        <v>1233</v>
      </c>
      <c r="F99" s="696">
        <f ca="1">Calc!BX179</f>
        <v>0.98455384615384289</v>
      </c>
      <c r="G99" s="691">
        <f t="shared" ca="1" si="0"/>
        <v>0</v>
      </c>
      <c r="K99" s="691">
        <f ca="1">IF(G99=1,MATCH($K$61,G99:$G$113,0),C99)</f>
        <v>219</v>
      </c>
      <c r="L99" s="716">
        <f t="shared" ca="1" si="1"/>
        <v>219</v>
      </c>
      <c r="M99" s="691">
        <f ca="1">IF(G99=1,MATCH($K$61,G99:$G$113,0),E99)</f>
        <v>1233</v>
      </c>
      <c r="N99" s="716">
        <f t="shared" ca="1" si="2"/>
        <v>1233</v>
      </c>
    </row>
    <row r="100" spans="2:14">
      <c r="B100" s="695">
        <f ca="1">IF(Calc!BT180&gt;$M$4,$M$4,Calc!BT180)</f>
        <v>1333.3333333333335</v>
      </c>
      <c r="C100" s="691">
        <f ca="1">IF(Calc!BV180&lt;0,0,IF(Calc!BV180&lt;=$J$6,Calc!BV180,$J$6))</f>
        <v>191</v>
      </c>
      <c r="D100" s="695">
        <f ca="1">IF(Calc!BZ180&lt;$M$3,Calc!BZ180,$M$3)</f>
        <v>400</v>
      </c>
      <c r="E100" s="691">
        <f ca="1">IF(Calc!CB180&lt;0,0,IF(Calc!CB180&lt;=$J$6,Calc!CB180,$J$6))</f>
        <v>1140</v>
      </c>
      <c r="F100" s="696">
        <f ca="1">Calc!BX180</f>
        <v>0.92309169230768928</v>
      </c>
      <c r="G100" s="691">
        <f t="shared" ca="1" si="0"/>
        <v>0</v>
      </c>
      <c r="K100" s="691">
        <f ca="1">IF(G100=1,MATCH($K$61,G100:$G$113,0),C100)</f>
        <v>191</v>
      </c>
      <c r="L100" s="716">
        <f t="shared" ca="1" si="1"/>
        <v>191</v>
      </c>
      <c r="M100" s="691">
        <f ca="1">IF(G100=1,MATCH($K$61,G100:$G$113,0),E100)</f>
        <v>1140</v>
      </c>
      <c r="N100" s="716">
        <f t="shared" ca="1" si="2"/>
        <v>1140</v>
      </c>
    </row>
    <row r="101" spans="2:14">
      <c r="B101" s="695">
        <f ca="1">IF(Calc!BT181&gt;$M$4,$M$4,Calc!BT181)</f>
        <v>1333.3333333333335</v>
      </c>
      <c r="C101" s="691">
        <f ca="1">IF(Calc!BV181&lt;0,0,IF(Calc!BV181&lt;=$J$6,Calc!BV181,$J$6))</f>
        <v>163</v>
      </c>
      <c r="D101" s="695">
        <f ca="1">IF(Calc!BZ181&lt;$M$3,Calc!BZ181,$M$3)</f>
        <v>400</v>
      </c>
      <c r="E101" s="691">
        <f ca="1">IF(Calc!CB181&lt;0,0,IF(Calc!CB181&lt;=$J$6,Calc!CB181,$J$6))</f>
        <v>1047</v>
      </c>
      <c r="F101" s="696">
        <f ca="1">Calc!BX181</f>
        <v>0.86103314285713972</v>
      </c>
      <c r="G101" s="691">
        <f t="shared" ca="1" si="0"/>
        <v>0</v>
      </c>
      <c r="K101" s="691">
        <f ca="1">IF(G101=1,MATCH($K$61,G101:$G$113,0),C101)</f>
        <v>163</v>
      </c>
      <c r="L101" s="716">
        <f t="shared" ca="1" si="1"/>
        <v>163</v>
      </c>
      <c r="M101" s="691">
        <f ca="1">IF(G101=1,MATCH($K$61,G101:$G$113,0),E101)</f>
        <v>1047</v>
      </c>
      <c r="N101" s="716">
        <f t="shared" ca="1" si="2"/>
        <v>1047</v>
      </c>
    </row>
    <row r="102" spans="2:14">
      <c r="B102" s="695">
        <f ca="1">IF(Calc!BT182&gt;$M$4,$M$4,Calc!BT182)</f>
        <v>1333.3333333333335</v>
      </c>
      <c r="C102" s="691">
        <f ca="1">IF(Calc!BV182&lt;0,0,IF(Calc!BV182&lt;=$J$6,Calc!BV182,$J$6))</f>
        <v>134</v>
      </c>
      <c r="D102" s="695">
        <f ca="1">IF(Calc!BZ182&lt;$M$3,Calc!BZ182,$M$3)</f>
        <v>400</v>
      </c>
      <c r="E102" s="691">
        <f ca="1">IF(Calc!CB182&lt;0,0,IF(Calc!CB182&lt;=$J$6,Calc!CB182,$J$6))</f>
        <v>952</v>
      </c>
      <c r="F102" s="696">
        <f ca="1">Calc!BX182</f>
        <v>0.79837819780219466</v>
      </c>
      <c r="G102" s="691">
        <f t="shared" ca="1" si="0"/>
        <v>0</v>
      </c>
      <c r="K102" s="691">
        <f ca="1">IF(G102=1,MATCH($K$61,G102:$G$113,0),C102)</f>
        <v>134</v>
      </c>
      <c r="L102" s="716">
        <f t="shared" ca="1" si="1"/>
        <v>134</v>
      </c>
      <c r="M102" s="691">
        <f ca="1">IF(G102=1,MATCH($K$61,G102:$G$113,0),E102)</f>
        <v>952</v>
      </c>
      <c r="N102" s="716">
        <f t="shared" ca="1" si="2"/>
        <v>952</v>
      </c>
    </row>
    <row r="103" spans="2:14">
      <c r="B103" s="695">
        <f ca="1">IF(Calc!BT183&gt;$M$4,$M$4,Calc!BT183)</f>
        <v>1333.3333333333335</v>
      </c>
      <c r="C103" s="691">
        <f ca="1">IF(Calc!BV183&lt;0,0,IF(Calc!BV183&lt;=$J$6,Calc!BV183,$J$6))</f>
        <v>106</v>
      </c>
      <c r="D103" s="695">
        <f ca="1">IF(Calc!BZ183&lt;$M$3,Calc!BZ183,$M$3)</f>
        <v>400</v>
      </c>
      <c r="E103" s="691">
        <f ca="1">IF(Calc!CB183&lt;0,0,IF(Calc!CB183&lt;=$J$6,Calc!CB183,$J$6))</f>
        <v>857</v>
      </c>
      <c r="F103" s="696">
        <f ca="1">Calc!BX183</f>
        <v>0.73512685714285386</v>
      </c>
      <c r="G103" s="691">
        <f t="shared" ca="1" si="0"/>
        <v>0</v>
      </c>
      <c r="K103" s="691">
        <f ca="1">IF(G103=1,MATCH($K$61,G103:$G$113,0),C103)</f>
        <v>106</v>
      </c>
      <c r="L103" s="716">
        <f t="shared" ca="1" si="1"/>
        <v>106</v>
      </c>
      <c r="M103" s="691">
        <f ca="1">IF(G103=1,MATCH($K$61,G103:$G$113,0),E103)</f>
        <v>857</v>
      </c>
      <c r="N103" s="716">
        <f t="shared" ca="1" si="2"/>
        <v>857</v>
      </c>
    </row>
    <row r="104" spans="2:14">
      <c r="B104" s="695">
        <f ca="1">IF(Calc!BT184&gt;$M$4,$M$4,Calc!BT184)</f>
        <v>1333.3333333333335</v>
      </c>
      <c r="C104" s="691">
        <f ca="1">IF(Calc!BV184&lt;0,0,IF(Calc!BV184&lt;=$J$6,Calc!BV184,$J$6))</f>
        <v>77</v>
      </c>
      <c r="D104" s="695">
        <f ca="1">IF(Calc!BZ184&lt;$M$3,Calc!BZ184,$M$3)</f>
        <v>400</v>
      </c>
      <c r="E104" s="691">
        <f ca="1">IF(Calc!CB184&lt;0,0,IF(Calc!CB184&lt;=$J$6,Calc!CB184,$J$6))</f>
        <v>760</v>
      </c>
      <c r="F104" s="696">
        <f ca="1">Calc!BX184</f>
        <v>0.67127912087911767</v>
      </c>
      <c r="G104" s="691">
        <f t="shared" ca="1" si="0"/>
        <v>0</v>
      </c>
      <c r="K104" s="691">
        <f ca="1">IF(G104=1,MATCH($K$61,G104:$G$113,0),C104)</f>
        <v>77</v>
      </c>
      <c r="L104" s="716">
        <f t="shared" ca="1" si="1"/>
        <v>77</v>
      </c>
      <c r="M104" s="691">
        <f ca="1">IF(G104=1,MATCH($K$61,G104:$G$113,0),E104)</f>
        <v>760</v>
      </c>
      <c r="N104" s="716">
        <f t="shared" ca="1" si="2"/>
        <v>760</v>
      </c>
    </row>
    <row r="105" spans="2:14">
      <c r="B105" s="695">
        <f ca="1">IF(Calc!BT185&gt;$M$4,$M$4,Calc!BT185)</f>
        <v>1333.3333333333335</v>
      </c>
      <c r="C105" s="691">
        <f ca="1">IF(Calc!BV185&lt;0,0,IF(Calc!BV185&lt;=$J$6,Calc!BV185,$J$6))</f>
        <v>48</v>
      </c>
      <c r="D105" s="695">
        <f ca="1">IF(Calc!BZ185&lt;$M$3,Calc!BZ185,$M$3)</f>
        <v>400</v>
      </c>
      <c r="E105" s="691">
        <f ca="1">IF(Calc!CB185&lt;0,0,IF(Calc!CB185&lt;=$J$6,Calc!CB185,$J$6))</f>
        <v>663</v>
      </c>
      <c r="F105" s="696">
        <f ca="1">Calc!BX185</f>
        <v>0.60683498901098565</v>
      </c>
      <c r="G105" s="691">
        <f t="shared" ca="1" si="0"/>
        <v>0</v>
      </c>
      <c r="K105" s="691">
        <f ca="1">IF(G105=1,MATCH($K$61,G105:$G$113,0),C105)</f>
        <v>48</v>
      </c>
      <c r="L105" s="716">
        <f t="shared" ca="1" si="1"/>
        <v>48</v>
      </c>
      <c r="M105" s="691">
        <f ca="1">IF(G105=1,MATCH($K$61,G105:$G$113,0),E105)</f>
        <v>663</v>
      </c>
      <c r="N105" s="716">
        <f t="shared" ca="1" si="2"/>
        <v>663</v>
      </c>
    </row>
    <row r="106" spans="2:14">
      <c r="B106" s="695">
        <f ca="1">IF(Calc!BT186&gt;$M$4,$M$4,Calc!BT186)</f>
        <v>1333.3333333333335</v>
      </c>
      <c r="C106" s="691">
        <f ca="1">IF(Calc!BV186&lt;0,0,IF(Calc!BV186&lt;=$J$6,Calc!BV186,$J$6))</f>
        <v>18</v>
      </c>
      <c r="D106" s="695">
        <f ca="1">IF(Calc!BZ186&lt;$M$3,Calc!BZ186,$M$3)</f>
        <v>400</v>
      </c>
      <c r="E106" s="691">
        <f ca="1">IF(Calc!CB186&lt;0,0,IF(Calc!CB186&lt;=$J$6,Calc!CB186,$J$6))</f>
        <v>565</v>
      </c>
      <c r="F106" s="696">
        <f ca="1">Calc!BX186</f>
        <v>0.54179446153845823</v>
      </c>
      <c r="G106" s="691">
        <f t="shared" ca="1" si="0"/>
        <v>0</v>
      </c>
      <c r="K106" s="691">
        <f ca="1">IF(G106=1,MATCH($K$61,G106:$G$113,0),C106)</f>
        <v>18</v>
      </c>
      <c r="L106" s="716">
        <f t="shared" ca="1" si="1"/>
        <v>18</v>
      </c>
      <c r="M106" s="691">
        <f ca="1">IF(G106=1,MATCH($K$61,G106:$G$113,0),E106)</f>
        <v>565</v>
      </c>
      <c r="N106" s="716">
        <f t="shared" ca="1" si="2"/>
        <v>565</v>
      </c>
    </row>
    <row r="107" spans="2:14">
      <c r="B107" s="695">
        <f ca="1">IF(Calc!BT187&gt;$M$4,$M$4,Calc!BT187)</f>
        <v>1333.3333333333335</v>
      </c>
      <c r="C107" s="691">
        <f ca="1">IF(Calc!BV187&lt;0,0,IF(Calc!BV187&lt;=$J$6,Calc!BV187,$J$6))</f>
        <v>0</v>
      </c>
      <c r="D107" s="695">
        <f ca="1">IF(Calc!BZ187&lt;$M$3,Calc!BZ187,$M$3)</f>
        <v>400</v>
      </c>
      <c r="E107" s="691">
        <f ca="1">IF(Calc!CB187&lt;0,0,IF(Calc!CB187&lt;=$J$6,Calc!CB187,$J$6))</f>
        <v>466</v>
      </c>
      <c r="F107" s="696">
        <f ca="1">Calc!BX187</f>
        <v>0.47615753846153508</v>
      </c>
      <c r="G107" s="691">
        <f t="shared" ca="1" si="0"/>
        <v>0</v>
      </c>
      <c r="K107" s="691">
        <f ca="1">IF(G107=1,MATCH($K$61,G107:$G$113,0),C107)</f>
        <v>0</v>
      </c>
      <c r="L107" s="716">
        <f t="shared" ca="1" si="1"/>
        <v>0</v>
      </c>
      <c r="M107" s="691">
        <f ca="1">IF(G107=1,MATCH($K$61,G107:$G$113,0),E107)</f>
        <v>466</v>
      </c>
      <c r="N107" s="716">
        <f t="shared" ca="1" si="2"/>
        <v>466</v>
      </c>
    </row>
    <row r="108" spans="2:14">
      <c r="B108" s="695">
        <f ca="1">IF(Calc!BT188&gt;$M$4,$M$4,Calc!BT188)</f>
        <v>1333.3333333333335</v>
      </c>
      <c r="C108" s="691">
        <f ca="1">IF(Calc!BV188&lt;0,0,IF(Calc!BV188&lt;=$J$6,Calc!BV188,$J$6))</f>
        <v>0</v>
      </c>
      <c r="D108" s="695">
        <f ca="1">IF(Calc!BZ188&lt;$M$3,Calc!BZ188,$M$3)</f>
        <v>400</v>
      </c>
      <c r="E108" s="691">
        <f ca="1">IF(Calc!CB188&lt;0,0,IF(Calc!CB188&lt;=$J$6,Calc!CB188,$J$6))</f>
        <v>366</v>
      </c>
      <c r="F108" s="696">
        <f ca="1">Calc!BX188</f>
        <v>0.40992421978021643</v>
      </c>
      <c r="G108" s="691">
        <f t="shared" ca="1" si="0"/>
        <v>0</v>
      </c>
      <c r="K108" s="691">
        <f ca="1">IF(G108=1,MATCH($K$61,G108:$G$113,0),C108)</f>
        <v>0</v>
      </c>
      <c r="L108" s="716">
        <f t="shared" ca="1" si="1"/>
        <v>0</v>
      </c>
      <c r="M108" s="691">
        <f ca="1">IF(G108=1,MATCH($K$61,G108:$G$113,0),E108)</f>
        <v>366</v>
      </c>
      <c r="N108" s="716">
        <f t="shared" ca="1" si="2"/>
        <v>366</v>
      </c>
    </row>
    <row r="109" spans="2:14">
      <c r="B109" s="695">
        <f ca="1">IF(Calc!BT189&gt;$M$4,$M$4,Calc!BT189)</f>
        <v>1333.3333333333335</v>
      </c>
      <c r="C109" s="691">
        <f ca="1">IF(Calc!BV189&lt;0,0,IF(Calc!BV189&lt;=$J$6,Calc!BV189,$J$6))</f>
        <v>0</v>
      </c>
      <c r="D109" s="695">
        <f ca="1">IF(Calc!BZ189&lt;$M$3,Calc!BZ189,$M$3)</f>
        <v>400</v>
      </c>
      <c r="E109" s="691">
        <f ca="1">IF(Calc!CB189&lt;0,0,IF(Calc!CB189&lt;=$J$6,Calc!CB189,$J$6))</f>
        <v>266</v>
      </c>
      <c r="F109" s="696">
        <f ca="1">Calc!BX189</f>
        <v>0.3430945054945021</v>
      </c>
      <c r="G109" s="691">
        <f t="shared" ca="1" si="0"/>
        <v>0</v>
      </c>
      <c r="K109" s="691">
        <f ca="1">IF(G109=1,MATCH($K$61,G109:$G$113,0),C109)</f>
        <v>0</v>
      </c>
      <c r="L109" s="716">
        <f t="shared" ca="1" si="1"/>
        <v>0</v>
      </c>
      <c r="M109" s="691">
        <f ca="1">IF(G109=1,MATCH($K$61,G109:$G$113,0),E109)</f>
        <v>266</v>
      </c>
      <c r="N109" s="716">
        <f t="shared" ca="1" si="2"/>
        <v>266</v>
      </c>
    </row>
    <row r="110" spans="2:14">
      <c r="B110" s="695">
        <f ca="1">IF(Calc!BT190&gt;$M$4,$M$4,Calc!BT190)</f>
        <v>1333.3333333333335</v>
      </c>
      <c r="C110" s="691">
        <f ca="1">IF(Calc!BV190&lt;0,0,IF(Calc!BV190&lt;=$J$6,Calc!BV190,$J$6))</f>
        <v>0</v>
      </c>
      <c r="D110" s="695">
        <f ca="1">IF(Calc!BZ190&lt;$M$3,Calc!BZ190,$M$3)</f>
        <v>400</v>
      </c>
      <c r="E110" s="691">
        <f ca="1">IF(Calc!CB190&lt;0,0,IF(Calc!CB190&lt;=$J$6,Calc!CB190,$J$6))</f>
        <v>164</v>
      </c>
      <c r="F110" s="696">
        <f ca="1">Calc!BX190</f>
        <v>0.27566839560439221</v>
      </c>
      <c r="G110" s="691">
        <f t="shared" ca="1" si="0"/>
        <v>0</v>
      </c>
      <c r="K110" s="691">
        <f ca="1">IF(G110=1,MATCH($K$61,G110:$G$113,0),C110)</f>
        <v>0</v>
      </c>
      <c r="L110" s="716">
        <f t="shared" ca="1" si="1"/>
        <v>0</v>
      </c>
      <c r="M110" s="691">
        <f ca="1">IF(G110=1,MATCH($K$61,G110:$G$113,0),E110)</f>
        <v>164</v>
      </c>
      <c r="N110" s="716">
        <f t="shared" ca="1" si="2"/>
        <v>164</v>
      </c>
    </row>
    <row r="111" spans="2:14">
      <c r="B111" s="695">
        <f ca="1">IF(Calc!BT191&gt;$M$4,$M$4,Calc!BT191)</f>
        <v>1333.3333333333335</v>
      </c>
      <c r="C111" s="691">
        <f ca="1">IF(Calc!BV191&lt;0,0,IF(Calc!BV191&lt;=$J$6,Calc!BV191,$J$6))</f>
        <v>0</v>
      </c>
      <c r="D111" s="695">
        <f ca="1">IF(Calc!BZ191&lt;$M$3,Calc!BZ191,$M$3)</f>
        <v>400</v>
      </c>
      <c r="E111" s="691">
        <f ca="1">IF(Calc!CB191&lt;0,0,IF(Calc!CB191&lt;=$J$6,Calc!CB191,$J$6))</f>
        <v>61</v>
      </c>
      <c r="F111" s="696">
        <f ca="1">Calc!BX191</f>
        <v>0.20764589010988635</v>
      </c>
      <c r="G111" s="691">
        <f t="shared" ca="1" si="0"/>
        <v>0</v>
      </c>
      <c r="K111" s="691">
        <f ca="1">IF(G111=1,MATCH($K$61,G111:$G$113,0),C111)</f>
        <v>0</v>
      </c>
      <c r="L111" s="716">
        <f t="shared" ca="1" si="1"/>
        <v>0</v>
      </c>
      <c r="M111" s="691">
        <f ca="1">IF(G111=1,MATCH($K$61,G111:$G$113,0),E111)</f>
        <v>61</v>
      </c>
      <c r="N111" s="716">
        <f t="shared" ca="1" si="2"/>
        <v>61</v>
      </c>
    </row>
    <row r="112" spans="2:14">
      <c r="B112" s="695">
        <f ca="1">IF(Calc!BT192&gt;$M$4,$M$4,Calc!BT192)</f>
        <v>1333.3333333333335</v>
      </c>
      <c r="C112" s="691">
        <f ca="1">IF(Calc!BV192&lt;0,0,IF(Calc!BV192&lt;=$J$6,Calc!BV192,$J$6))</f>
        <v>0</v>
      </c>
      <c r="D112" s="695">
        <f ca="1">IF(Calc!BZ192&lt;$M$3,Calc!BZ192,$M$3)</f>
        <v>400</v>
      </c>
      <c r="E112" s="691">
        <f ca="1">IF(Calc!CB192&lt;0,0,IF(Calc!CB192&lt;=$J$6,Calc!CB192,$J$6))</f>
        <v>0</v>
      </c>
      <c r="F112" s="696">
        <f ca="1">Calc!BX192</f>
        <v>0.13902698901098556</v>
      </c>
      <c r="G112" s="691">
        <f t="shared" ca="1" si="0"/>
        <v>0</v>
      </c>
      <c r="K112" s="691">
        <f ca="1">IF(G112=1,MATCH($K$61,G112:$G$113,0),C112)</f>
        <v>0</v>
      </c>
      <c r="L112" s="716">
        <f t="shared" ca="1" si="1"/>
        <v>0</v>
      </c>
      <c r="M112" s="691">
        <f ca="1">IF(G112=1,MATCH($K$61,G112:$G$113,0),E112)</f>
        <v>0</v>
      </c>
      <c r="N112" s="716">
        <f t="shared" ca="1" si="2"/>
        <v>0</v>
      </c>
    </row>
    <row r="113" spans="1:14">
      <c r="B113" s="695">
        <f ca="1">IF(Calc!BT193&gt;$M$4,$M$4,Calc!BT193)</f>
        <v>1333.3333333333335</v>
      </c>
      <c r="C113" s="691">
        <f ca="1">IF(Calc!BV193&lt;0,0,Calc!BV193)</f>
        <v>0</v>
      </c>
      <c r="D113" s="695">
        <f ca="1">IF(Calc!BZ193&lt;$M$3,Calc!BZ193,$M$3)</f>
        <v>400</v>
      </c>
      <c r="E113" s="691">
        <f ca="1">IF(Calc!CB193&lt;0,0,IF(Calc!CB193&lt;=$J$6,Calc!CB193,$J$6))</f>
        <v>0</v>
      </c>
      <c r="F113" s="696">
        <f ca="1">Calc!BX193</f>
        <v>6.9811692307688827E-2</v>
      </c>
      <c r="G113" s="691">
        <f t="shared" ca="1" si="0"/>
        <v>0</v>
      </c>
      <c r="K113" s="691">
        <f ca="1">IF(G113=1,MATCH($K$61,G113:$G$113,0),C113)</f>
        <v>0</v>
      </c>
      <c r="L113" s="716">
        <f t="shared" ca="1" si="1"/>
        <v>0</v>
      </c>
      <c r="M113" s="691">
        <f ca="1">IF(G113=1,MATCH($K$61,G113:$G$113,0),E113)</f>
        <v>0</v>
      </c>
      <c r="N113" s="716">
        <f t="shared" ca="1" si="2"/>
        <v>0</v>
      </c>
    </row>
    <row r="114" spans="1:14">
      <c r="B114" s="695">
        <f ca="1">IF(Calc!BT194&gt;$M$4,$M$4,Calc!BT194)</f>
        <v>1333.3333333333335</v>
      </c>
      <c r="C114" s="691">
        <f ca="1">IF(Calc!BV194&lt;0,0,Calc!BV194)</f>
        <v>0</v>
      </c>
      <c r="D114" s="695">
        <f ca="1">IF(Calc!BZ194&lt;$M$3,Calc!BZ194,$M$3)</f>
        <v>400</v>
      </c>
      <c r="E114" s="691">
        <f ca="1">IF(Calc!CB194&lt;0,0,IF(Calc!CB194&lt;=$J$6,Calc!CB194,$J$6))</f>
        <v>0</v>
      </c>
      <c r="F114" s="696">
        <f ca="1">Calc!BX194</f>
        <v>0</v>
      </c>
      <c r="G114" s="691">
        <f t="shared" ca="1" si="0"/>
        <v>0</v>
      </c>
      <c r="K114" s="691">
        <f ca="1">IF(G114=1,MATCH($K$61,G$113:$G114,0),C114)</f>
        <v>0</v>
      </c>
      <c r="L114" s="716">
        <f t="shared" ref="L114" ca="1" si="3">IF(C114&lt;0,0,IF(K114&lt;&gt;C114,OFFSET(B113,K114,1,1,1),C114))</f>
        <v>0</v>
      </c>
      <c r="M114" s="691">
        <f ca="1">IF(G114=1,MATCH($K$61,G$113:$G114,0),E114)</f>
        <v>0</v>
      </c>
      <c r="N114" s="716">
        <f t="shared" ref="N114" ca="1" si="4">IF(E114&lt;0,0,IF(M114&lt;&gt;E114,OFFSET(D113,M114,1,1,1),E114))</f>
        <v>0</v>
      </c>
    </row>
    <row r="119" spans="1:14">
      <c r="A119" s="691" t="str">
        <f ca="1">B3</f>
        <v>AKM22E</v>
      </c>
      <c r="B119" s="691" t="str">
        <f ca="1">D3</f>
        <v>(240 VAC)</v>
      </c>
    </row>
    <row r="120" spans="1:14">
      <c r="B120" s="691" t="s">
        <v>12</v>
      </c>
      <c r="C120" s="691" t="s">
        <v>1857</v>
      </c>
      <c r="E120" s="691" t="s">
        <v>12</v>
      </c>
      <c r="F120" s="691" t="s">
        <v>1857</v>
      </c>
    </row>
  </sheetData>
  <mergeCells count="1">
    <mergeCell ref="L58:N58"/>
  </mergeCells>
  <conditionalFormatting sqref="F63:F114">
    <cfRule type="cellIs" dxfId="0" priority="267" operator="greaterThan">
      <formula>$F$60</formula>
    </cfRule>
  </conditionalFormatting>
  <pageMargins left="0.7" right="0.7" top="0.75" bottom="0.75" header="0.3" footer="0.3"/>
  <customProperties>
    <customPr name="workbookAdvencedSettings" r:id="rId1"/>
    <customPr name="workbookExecutionSettings" r:id="rId2"/>
    <customPr name="workbookGatewaySettings"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theme="9" tint="0.59999389629810485"/>
  </sheetPr>
  <dimension ref="A2:R39"/>
  <sheetViews>
    <sheetView showGridLines="0" zoomScaleNormal="100" workbookViewId="0">
      <selection activeCell="J30" sqref="J30"/>
    </sheetView>
  </sheetViews>
  <sheetFormatPr defaultRowHeight="15"/>
  <cols>
    <col min="8" max="8" width="4.5703125" customWidth="1"/>
  </cols>
  <sheetData>
    <row r="2" spans="2:15" ht="21">
      <c r="B2" s="725" t="s">
        <v>1884</v>
      </c>
    </row>
    <row r="4" spans="2:15">
      <c r="J4" s="279"/>
      <c r="K4" s="279"/>
      <c r="L4" s="111"/>
      <c r="M4" s="34"/>
      <c r="N4" s="34"/>
      <c r="O4" s="279"/>
    </row>
    <row r="5" spans="2:15">
      <c r="J5" s="279"/>
      <c r="K5" s="279"/>
      <c r="L5" s="111"/>
      <c r="M5" s="34"/>
      <c r="N5" s="34"/>
      <c r="O5" s="279"/>
    </row>
    <row r="6" spans="2:15">
      <c r="J6" s="279"/>
      <c r="K6" s="279"/>
      <c r="L6" s="111"/>
      <c r="M6" s="34"/>
      <c r="N6" s="34"/>
      <c r="O6" s="279"/>
    </row>
    <row r="7" spans="2:15">
      <c r="J7" s="279"/>
      <c r="K7" s="279"/>
      <c r="L7" s="111"/>
      <c r="M7" s="34"/>
      <c r="N7" s="34"/>
      <c r="O7" s="279"/>
    </row>
    <row r="21" spans="1:18" ht="21">
      <c r="B21" s="732" t="s">
        <v>1885</v>
      </c>
      <c r="C21" s="73"/>
      <c r="D21" s="73"/>
      <c r="E21" s="73"/>
      <c r="F21" s="73"/>
      <c r="G21" s="73"/>
      <c r="H21" s="71"/>
      <c r="L21" s="737" t="s">
        <v>1895</v>
      </c>
      <c r="M21" s="738"/>
      <c r="N21" s="738"/>
      <c r="O21" s="738"/>
      <c r="P21" s="738"/>
      <c r="Q21" s="738"/>
      <c r="R21" s="739"/>
    </row>
    <row r="22" spans="1:18">
      <c r="B22" s="67"/>
      <c r="C22" s="34"/>
      <c r="D22" s="34"/>
      <c r="E22" s="34"/>
      <c r="F22" s="34"/>
      <c r="G22" s="34"/>
      <c r="H22" s="68"/>
      <c r="L22" s="740"/>
      <c r="M22" s="741"/>
      <c r="N22" s="741"/>
      <c r="O22" s="741"/>
      <c r="P22" s="741"/>
      <c r="Q22" s="741"/>
      <c r="R22" s="742"/>
    </row>
    <row r="23" spans="1:18">
      <c r="B23" s="67"/>
      <c r="C23" s="34"/>
      <c r="D23" s="34"/>
      <c r="E23" s="34"/>
      <c r="F23" s="34"/>
      <c r="G23" s="34"/>
      <c r="H23" s="68"/>
      <c r="L23" s="740"/>
      <c r="M23" s="741"/>
      <c r="N23" s="741"/>
      <c r="O23" s="741"/>
      <c r="P23" s="743" t="s">
        <v>1887</v>
      </c>
      <c r="Q23" s="744">
        <f>((P27*M27^3+P28*M28^3+P29*M29^3+P30*M30^3+P31*M31^3+P32*M32^3)/P34)^(1/3)</f>
        <v>795.81144157927781</v>
      </c>
      <c r="R23" s="742" t="s">
        <v>6</v>
      </c>
    </row>
    <row r="24" spans="1:18">
      <c r="B24" s="67"/>
      <c r="C24" s="34"/>
      <c r="D24" s="34"/>
      <c r="E24" s="34"/>
      <c r="F24" s="117" t="s">
        <v>1887</v>
      </c>
      <c r="G24" s="733">
        <f>((F27*C27^3+F28*C28^3+F29*C29^3+F30*C30^3+F31*C31^3+F32*C32^3)/F34)^(1/3)</f>
        <v>999.99999999999977</v>
      </c>
      <c r="H24" s="68" t="s">
        <v>6</v>
      </c>
      <c r="L24" s="740"/>
      <c r="M24" s="741"/>
      <c r="N24" s="741"/>
      <c r="O24" s="741"/>
      <c r="P24" s="741"/>
      <c r="Q24" s="741"/>
      <c r="R24" s="742"/>
    </row>
    <row r="25" spans="1:18">
      <c r="A25" s="726"/>
      <c r="B25" s="67"/>
      <c r="C25" s="34"/>
      <c r="D25" s="34"/>
      <c r="E25" s="34"/>
      <c r="F25" s="34"/>
      <c r="G25" s="34"/>
      <c r="H25" s="68"/>
      <c r="L25" s="740"/>
      <c r="M25" s="741"/>
      <c r="N25" s="741"/>
      <c r="O25" s="741"/>
      <c r="P25" s="741"/>
      <c r="Q25" s="741"/>
      <c r="R25" s="742"/>
    </row>
    <row r="26" spans="1:18">
      <c r="B26" s="67"/>
      <c r="C26" s="129" t="s">
        <v>1823</v>
      </c>
      <c r="D26" s="34"/>
      <c r="E26" s="34"/>
      <c r="F26" s="129" t="s">
        <v>1886</v>
      </c>
      <c r="G26" s="34"/>
      <c r="H26" s="68"/>
      <c r="K26" s="729"/>
      <c r="L26" s="740"/>
      <c r="M26" s="745" t="s">
        <v>1823</v>
      </c>
      <c r="N26" s="741"/>
      <c r="O26" s="741"/>
      <c r="P26" s="745" t="s">
        <v>1886</v>
      </c>
      <c r="Q26" s="741"/>
      <c r="R26" s="742"/>
    </row>
    <row r="27" spans="1:18">
      <c r="B27" s="67"/>
      <c r="C27" s="1071">
        <v>1000</v>
      </c>
      <c r="D27" s="34" t="s">
        <v>6</v>
      </c>
      <c r="E27" s="34"/>
      <c r="F27" s="1071">
        <v>400</v>
      </c>
      <c r="G27" s="34" t="s">
        <v>5</v>
      </c>
      <c r="H27" s="68"/>
      <c r="K27" s="729"/>
      <c r="L27" s="740"/>
      <c r="M27" s="741">
        <v>1000</v>
      </c>
      <c r="N27" s="741" t="s">
        <v>6</v>
      </c>
      <c r="O27" s="741"/>
      <c r="P27" s="741">
        <v>400</v>
      </c>
      <c r="Q27" s="741" t="s">
        <v>5</v>
      </c>
      <c r="R27" s="742"/>
    </row>
    <row r="28" spans="1:18">
      <c r="B28" s="67"/>
      <c r="C28" s="1071">
        <v>1000</v>
      </c>
      <c r="D28" s="34" t="s">
        <v>6</v>
      </c>
      <c r="E28" s="34"/>
      <c r="F28" s="1071">
        <v>400</v>
      </c>
      <c r="G28" s="34" t="s">
        <v>5</v>
      </c>
      <c r="H28" s="68"/>
      <c r="K28" s="729"/>
      <c r="L28" s="740"/>
      <c r="M28" s="741">
        <v>200</v>
      </c>
      <c r="N28" s="741" t="s">
        <v>6</v>
      </c>
      <c r="O28" s="741"/>
      <c r="P28" s="741">
        <v>400</v>
      </c>
      <c r="Q28" s="741" t="s">
        <v>5</v>
      </c>
      <c r="R28" s="742"/>
    </row>
    <row r="29" spans="1:18">
      <c r="B29" s="67"/>
      <c r="C29" s="1071">
        <v>0</v>
      </c>
      <c r="D29" s="34" t="s">
        <v>6</v>
      </c>
      <c r="E29" s="34"/>
      <c r="F29" s="1071">
        <v>0</v>
      </c>
      <c r="G29" s="34" t="s">
        <v>5</v>
      </c>
      <c r="H29" s="68"/>
      <c r="K29" s="729"/>
      <c r="L29" s="740"/>
      <c r="M29" s="741">
        <v>0</v>
      </c>
      <c r="N29" s="741" t="s">
        <v>6</v>
      </c>
      <c r="O29" s="741"/>
      <c r="P29" s="741">
        <v>0</v>
      </c>
      <c r="Q29" s="741" t="s">
        <v>5</v>
      </c>
      <c r="R29" s="742"/>
    </row>
    <row r="30" spans="1:18">
      <c r="B30" s="67"/>
      <c r="C30" s="1071">
        <v>0</v>
      </c>
      <c r="D30" s="34" t="s">
        <v>6</v>
      </c>
      <c r="E30" s="34"/>
      <c r="F30" s="1071">
        <v>0</v>
      </c>
      <c r="G30" s="34" t="s">
        <v>5</v>
      </c>
      <c r="H30" s="68"/>
      <c r="K30" s="729"/>
      <c r="L30" s="740"/>
      <c r="M30" s="741">
        <v>0</v>
      </c>
      <c r="N30" s="741" t="s">
        <v>6</v>
      </c>
      <c r="O30" s="741"/>
      <c r="P30" s="741">
        <v>0</v>
      </c>
      <c r="Q30" s="741" t="s">
        <v>5</v>
      </c>
      <c r="R30" s="742"/>
    </row>
    <row r="31" spans="1:18">
      <c r="B31" s="67"/>
      <c r="C31" s="1071">
        <v>0</v>
      </c>
      <c r="D31" s="34" t="s">
        <v>6</v>
      </c>
      <c r="E31" s="34"/>
      <c r="F31" s="1071">
        <v>0</v>
      </c>
      <c r="G31" s="34" t="s">
        <v>5</v>
      </c>
      <c r="H31" s="68"/>
      <c r="K31" s="729"/>
      <c r="L31" s="740"/>
      <c r="M31" s="741">
        <v>0</v>
      </c>
      <c r="N31" s="741" t="s">
        <v>6</v>
      </c>
      <c r="O31" s="741"/>
      <c r="P31" s="741">
        <v>0</v>
      </c>
      <c r="Q31" s="741" t="s">
        <v>5</v>
      </c>
      <c r="R31" s="742"/>
    </row>
    <row r="32" spans="1:18">
      <c r="B32" s="67"/>
      <c r="C32" s="1071">
        <v>0</v>
      </c>
      <c r="D32" s="34" t="s">
        <v>6</v>
      </c>
      <c r="E32" s="34"/>
      <c r="F32" s="1071">
        <v>0</v>
      </c>
      <c r="G32" s="34" t="s">
        <v>5</v>
      </c>
      <c r="H32" s="68"/>
      <c r="K32" s="729"/>
      <c r="L32" s="740"/>
      <c r="M32" s="741">
        <v>0</v>
      </c>
      <c r="N32" s="741" t="s">
        <v>6</v>
      </c>
      <c r="O32" s="741"/>
      <c r="P32" s="741">
        <v>0</v>
      </c>
      <c r="Q32" s="741" t="s">
        <v>5</v>
      </c>
      <c r="R32" s="742"/>
    </row>
    <row r="33" spans="2:18">
      <c r="B33" s="67"/>
      <c r="C33" s="34"/>
      <c r="D33" s="34"/>
      <c r="E33" s="34"/>
      <c r="F33" s="34"/>
      <c r="G33" s="34"/>
      <c r="H33" s="68"/>
      <c r="L33" s="740"/>
      <c r="M33" s="741"/>
      <c r="N33" s="741"/>
      <c r="O33" s="741"/>
      <c r="P33" s="741"/>
      <c r="Q33" s="741"/>
      <c r="R33" s="742"/>
    </row>
    <row r="34" spans="2:18">
      <c r="B34" s="128" t="s">
        <v>1883</v>
      </c>
      <c r="C34" s="34">
        <f>MAX(C27:C32)</f>
        <v>1000</v>
      </c>
      <c r="D34" s="34" t="s">
        <v>6</v>
      </c>
      <c r="E34" s="34"/>
      <c r="F34" s="34">
        <f>SUM(F27:F32)</f>
        <v>800</v>
      </c>
      <c r="G34" s="34" t="s">
        <v>5</v>
      </c>
      <c r="H34" s="68"/>
      <c r="L34" s="746" t="s">
        <v>1883</v>
      </c>
      <c r="M34" s="741">
        <f>MAX(M27:M32)</f>
        <v>1000</v>
      </c>
      <c r="N34" s="741" t="s">
        <v>6</v>
      </c>
      <c r="O34" s="741"/>
      <c r="P34" s="741">
        <f>SUM(P27:P32)</f>
        <v>800</v>
      </c>
      <c r="Q34" s="741" t="s">
        <v>5</v>
      </c>
      <c r="R34" s="742"/>
    </row>
    <row r="35" spans="2:18">
      <c r="B35" s="67"/>
      <c r="C35" s="34"/>
      <c r="D35" s="34"/>
      <c r="E35" s="34"/>
      <c r="F35" s="34"/>
      <c r="G35" s="34"/>
      <c r="H35" s="68"/>
      <c r="L35" s="740"/>
      <c r="M35" s="741"/>
      <c r="N35" s="741"/>
      <c r="O35" s="741"/>
      <c r="P35" s="741"/>
      <c r="Q35" s="741"/>
      <c r="R35" s="742"/>
    </row>
    <row r="36" spans="2:18">
      <c r="B36" s="67"/>
      <c r="C36" s="734" t="s">
        <v>1887</v>
      </c>
      <c r="D36" s="731">
        <f>$G$24/$C$34</f>
        <v>0.99999999999999978</v>
      </c>
      <c r="E36" s="735"/>
      <c r="F36" s="736"/>
      <c r="G36" s="735"/>
      <c r="H36" s="68"/>
      <c r="L36" s="740"/>
      <c r="M36" s="747" t="s">
        <v>1887</v>
      </c>
      <c r="N36" s="748">
        <f>$Q$23/$M$34</f>
        <v>0.79581144157927786</v>
      </c>
      <c r="O36" s="741"/>
      <c r="P36" s="741"/>
      <c r="Q36" s="741"/>
      <c r="R36" s="742"/>
    </row>
    <row r="37" spans="2:18">
      <c r="B37" s="72"/>
      <c r="C37" s="89"/>
      <c r="D37" s="89"/>
      <c r="E37" s="89"/>
      <c r="F37" s="89"/>
      <c r="G37" s="89"/>
      <c r="H37" s="90"/>
      <c r="L37" s="749"/>
      <c r="M37" s="750"/>
      <c r="N37" s="750"/>
      <c r="O37" s="750"/>
      <c r="P37" s="750"/>
      <c r="Q37" s="750"/>
      <c r="R37" s="751"/>
    </row>
    <row r="39" spans="2:18">
      <c r="C39" s="724"/>
    </row>
  </sheetData>
  <sheetProtection algorithmName="SHA-512" hashValue="LsSCYicynZESDaUefhK/Bsq3E1pU/mOOw7PDtD+bmJyl1eHxoYJDF8wrjZFjFzdJzyz3paZLQ0z9Lk50qRES8w==" saltValue="b0MX9ndon4gEaEDKP+yqwg==" spinCount="100000" sheet="1" objects="1" scenarios="1"/>
  <pageMargins left="0.7" right="0.7" top="0.75" bottom="0.75" header="0.3" footer="0.3"/>
  <pageSetup paperSize="9" orientation="portrait" r:id="rId1"/>
  <customProperties>
    <customPr name="workbookAdvencedSettings" r:id="rId2"/>
    <customPr name="workbookExecutionSettings" r:id="rId3"/>
    <customPr name="workbookGatewaySettings" r:id="rId4"/>
  </customPropertie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3:L44"/>
  <sheetViews>
    <sheetView zoomScaleNormal="100" workbookViewId="0"/>
  </sheetViews>
  <sheetFormatPr defaultRowHeight="15"/>
  <cols>
    <col min="2" max="2" width="25" customWidth="1"/>
    <col min="3" max="3" width="13.7109375" customWidth="1"/>
    <col min="4" max="4" width="14.7109375" customWidth="1"/>
    <col min="6" max="6" width="24.28515625" customWidth="1"/>
    <col min="7" max="7" width="13.85546875" bestFit="1" customWidth="1"/>
    <col min="8" max="8" width="14" bestFit="1" customWidth="1"/>
    <col min="10" max="10" width="24.7109375" customWidth="1"/>
    <col min="11" max="11" width="13.85546875" bestFit="1" customWidth="1"/>
    <col min="12" max="12" width="14" bestFit="1" customWidth="1"/>
  </cols>
  <sheetData>
    <row r="3" spans="2:12" s="926" customFormat="1"/>
    <row r="4" spans="2:12" s="926" customFormat="1" ht="21.75" thickBot="1">
      <c r="B4" s="970" t="s">
        <v>2022</v>
      </c>
      <c r="C4" s="970"/>
      <c r="D4" s="970"/>
      <c r="E4" s="970"/>
      <c r="F4" s="970"/>
      <c r="G4" s="970"/>
      <c r="H4" s="970"/>
      <c r="I4" s="970"/>
      <c r="J4" s="970"/>
      <c r="K4" s="970"/>
      <c r="L4" s="970"/>
    </row>
    <row r="5" spans="2:12" s="926" customFormat="1" ht="15.75" thickTop="1"/>
    <row r="6" spans="2:12" ht="18.75">
      <c r="B6" s="928" t="s">
        <v>1979</v>
      </c>
      <c r="F6" s="928" t="s">
        <v>1992</v>
      </c>
      <c r="G6" s="926"/>
      <c r="H6" s="926"/>
      <c r="J6" s="928" t="s">
        <v>1994</v>
      </c>
      <c r="K6" s="926"/>
      <c r="L6" s="926"/>
    </row>
    <row r="7" spans="2:12" ht="15.75" thickBot="1">
      <c r="B7" s="979" t="s">
        <v>1957</v>
      </c>
      <c r="C7" s="979"/>
      <c r="D7" s="979"/>
      <c r="F7" s="979" t="s">
        <v>1957</v>
      </c>
      <c r="G7" s="979"/>
      <c r="H7" s="979"/>
      <c r="J7" s="979" t="s">
        <v>1957</v>
      </c>
      <c r="K7" s="979"/>
      <c r="L7" s="979"/>
    </row>
    <row r="8" spans="2:12">
      <c r="B8" s="919" t="s">
        <v>1959</v>
      </c>
      <c r="C8" s="980" t="s">
        <v>1958</v>
      </c>
      <c r="D8" s="981"/>
      <c r="F8" s="919" t="s">
        <v>1959</v>
      </c>
      <c r="G8" s="980" t="s">
        <v>1958</v>
      </c>
      <c r="H8" s="981"/>
      <c r="J8" s="919" t="s">
        <v>1959</v>
      </c>
      <c r="K8" s="980" t="s">
        <v>1958</v>
      </c>
      <c r="L8" s="981"/>
    </row>
    <row r="9" spans="2:12">
      <c r="B9" s="913" t="s">
        <v>1952</v>
      </c>
      <c r="C9" s="982">
        <v>52</v>
      </c>
      <c r="D9" s="982"/>
      <c r="F9" s="913" t="s">
        <v>1996</v>
      </c>
      <c r="G9" s="982">
        <v>59</v>
      </c>
      <c r="H9" s="982"/>
      <c r="J9" s="913" t="s">
        <v>1996</v>
      </c>
      <c r="K9" s="982">
        <v>62</v>
      </c>
      <c r="L9" s="982"/>
    </row>
    <row r="10" spans="2:12">
      <c r="B10" s="915" t="s">
        <v>1953</v>
      </c>
      <c r="C10" s="983">
        <v>57</v>
      </c>
      <c r="D10" s="983"/>
      <c r="F10" s="915" t="s">
        <v>1997</v>
      </c>
      <c r="G10" s="983">
        <v>66</v>
      </c>
      <c r="H10" s="983"/>
      <c r="J10" s="915" t="s">
        <v>1997</v>
      </c>
      <c r="K10" s="983">
        <v>69</v>
      </c>
      <c r="L10" s="983"/>
    </row>
    <row r="11" spans="2:12">
      <c r="B11" s="914" t="s">
        <v>1954</v>
      </c>
      <c r="C11" s="991">
        <v>62</v>
      </c>
      <c r="D11" s="991"/>
      <c r="F11" s="930" t="s">
        <v>1998</v>
      </c>
      <c r="G11" s="984">
        <v>73</v>
      </c>
      <c r="H11" s="984"/>
      <c r="J11" s="930" t="s">
        <v>1998</v>
      </c>
      <c r="K11" s="984">
        <v>76</v>
      </c>
      <c r="L11" s="984"/>
    </row>
    <row r="12" spans="2:12">
      <c r="B12" s="916" t="s">
        <v>1955</v>
      </c>
      <c r="C12" s="992">
        <v>67</v>
      </c>
      <c r="D12" s="992"/>
      <c r="F12" s="366"/>
      <c r="G12" s="985"/>
      <c r="H12" s="985"/>
      <c r="J12" s="366"/>
      <c r="K12" s="985"/>
      <c r="L12" s="985"/>
    </row>
    <row r="13" spans="2:12">
      <c r="F13" s="926"/>
      <c r="G13" s="926"/>
      <c r="H13" s="926"/>
      <c r="J13" s="926"/>
      <c r="K13" s="926"/>
      <c r="L13" s="926"/>
    </row>
    <row r="14" spans="2:12" ht="15.75" thickBot="1">
      <c r="B14" s="971" t="s">
        <v>1956</v>
      </c>
      <c r="C14" s="971"/>
      <c r="D14" s="971"/>
      <c r="F14" s="971" t="s">
        <v>1956</v>
      </c>
      <c r="G14" s="971"/>
      <c r="H14" s="971"/>
      <c r="J14" s="971" t="s">
        <v>1956</v>
      </c>
      <c r="K14" s="971"/>
      <c r="L14" s="971"/>
    </row>
    <row r="15" spans="2:12">
      <c r="B15" s="917" t="s">
        <v>1960</v>
      </c>
      <c r="C15" s="920" t="s">
        <v>1967</v>
      </c>
      <c r="D15" s="920" t="s">
        <v>1968</v>
      </c>
      <c r="F15" s="917" t="s">
        <v>1960</v>
      </c>
      <c r="G15" s="920" t="s">
        <v>1967</v>
      </c>
      <c r="H15" s="920" t="s">
        <v>1968</v>
      </c>
      <c r="J15" s="917" t="s">
        <v>1960</v>
      </c>
      <c r="K15" s="920" t="s">
        <v>1967</v>
      </c>
      <c r="L15" s="920" t="s">
        <v>1968</v>
      </c>
    </row>
    <row r="16" spans="2:12">
      <c r="B16" s="914" t="s">
        <v>1961</v>
      </c>
      <c r="C16" s="922" t="s">
        <v>1969</v>
      </c>
      <c r="D16" s="923" t="s">
        <v>1970</v>
      </c>
      <c r="F16" s="914" t="s">
        <v>1961</v>
      </c>
      <c r="G16" s="922" t="s">
        <v>1999</v>
      </c>
      <c r="H16" s="923" t="s">
        <v>2000</v>
      </c>
      <c r="J16" s="914" t="s">
        <v>1961</v>
      </c>
      <c r="K16" s="922" t="s">
        <v>2012</v>
      </c>
      <c r="L16" s="923" t="s">
        <v>2013</v>
      </c>
    </row>
    <row r="17" spans="2:12">
      <c r="B17" s="915" t="s">
        <v>1962</v>
      </c>
      <c r="C17" s="972" t="s">
        <v>1971</v>
      </c>
      <c r="D17" s="973"/>
      <c r="F17" s="915" t="s">
        <v>1962</v>
      </c>
      <c r="G17" s="972" t="s">
        <v>2001</v>
      </c>
      <c r="H17" s="973"/>
      <c r="J17" s="915" t="s">
        <v>1962</v>
      </c>
      <c r="K17" s="972" t="s">
        <v>2001</v>
      </c>
      <c r="L17" s="973"/>
    </row>
    <row r="18" spans="2:12">
      <c r="B18" s="914" t="s">
        <v>1963</v>
      </c>
      <c r="C18" s="974" t="s">
        <v>1972</v>
      </c>
      <c r="D18" s="975"/>
      <c r="F18" s="914" t="s">
        <v>1963</v>
      </c>
      <c r="G18" s="974" t="s">
        <v>2002</v>
      </c>
      <c r="H18" s="975"/>
      <c r="J18" s="914" t="s">
        <v>1963</v>
      </c>
      <c r="K18" s="974" t="s">
        <v>2002</v>
      </c>
      <c r="L18" s="975"/>
    </row>
    <row r="19" spans="2:12">
      <c r="B19" s="915" t="s">
        <v>1964</v>
      </c>
      <c r="C19" s="924" t="s">
        <v>1973</v>
      </c>
      <c r="D19" s="921" t="s">
        <v>1974</v>
      </c>
      <c r="F19" s="915" t="s">
        <v>1964</v>
      </c>
      <c r="G19" s="924" t="s">
        <v>1988</v>
      </c>
      <c r="H19" s="921" t="s">
        <v>2003</v>
      </c>
      <c r="J19" s="915" t="s">
        <v>1964</v>
      </c>
      <c r="K19" s="924" t="s">
        <v>1974</v>
      </c>
      <c r="L19" s="921" t="s">
        <v>2014</v>
      </c>
    </row>
    <row r="20" spans="2:12">
      <c r="B20" s="918" t="s">
        <v>1965</v>
      </c>
      <c r="C20" s="986" t="s">
        <v>1975</v>
      </c>
      <c r="D20" s="987"/>
      <c r="F20" s="918" t="s">
        <v>1965</v>
      </c>
      <c r="G20" s="986" t="s">
        <v>1975</v>
      </c>
      <c r="H20" s="987"/>
      <c r="J20" s="918" t="s">
        <v>1965</v>
      </c>
      <c r="K20" s="986" t="s">
        <v>1975</v>
      </c>
      <c r="L20" s="987"/>
    </row>
    <row r="21" spans="2:12">
      <c r="F21" s="926"/>
      <c r="G21" s="926"/>
      <c r="H21" s="926"/>
      <c r="J21" s="926"/>
      <c r="K21" s="926"/>
      <c r="L21" s="926"/>
    </row>
    <row r="22" spans="2:12" ht="15.75" thickBot="1">
      <c r="B22" s="968" t="s">
        <v>1966</v>
      </c>
      <c r="C22" s="968"/>
      <c r="D22" s="968"/>
      <c r="F22" s="968" t="s">
        <v>1966</v>
      </c>
      <c r="G22" s="968"/>
      <c r="H22" s="968"/>
      <c r="J22" s="968" t="s">
        <v>1966</v>
      </c>
      <c r="K22" s="968"/>
      <c r="L22" s="968"/>
    </row>
    <row r="23" spans="2:12">
      <c r="B23" s="969" t="s">
        <v>1980</v>
      </c>
      <c r="C23" s="969"/>
      <c r="D23" s="969"/>
      <c r="F23" s="969" t="s">
        <v>2004</v>
      </c>
      <c r="G23" s="969"/>
      <c r="H23" s="969"/>
      <c r="J23" s="969" t="s">
        <v>2015</v>
      </c>
      <c r="K23" s="969"/>
      <c r="L23" s="969"/>
    </row>
    <row r="24" spans="2:12" s="926" customFormat="1">
      <c r="B24" s="279"/>
      <c r="C24" s="279"/>
      <c r="D24" s="279"/>
      <c r="F24" s="279"/>
      <c r="G24" s="279"/>
      <c r="H24" s="279"/>
      <c r="J24" s="279"/>
      <c r="K24" s="279"/>
      <c r="L24" s="279"/>
    </row>
    <row r="25" spans="2:12" ht="18.75">
      <c r="B25" s="928" t="s">
        <v>1981</v>
      </c>
      <c r="F25" s="928" t="s">
        <v>1993</v>
      </c>
      <c r="G25" s="926"/>
      <c r="H25" s="926"/>
      <c r="J25" s="928" t="s">
        <v>1995</v>
      </c>
      <c r="K25" s="926"/>
      <c r="L25" s="926"/>
    </row>
    <row r="26" spans="2:12" ht="15.75" thickBot="1">
      <c r="B26" s="971" t="s">
        <v>1956</v>
      </c>
      <c r="C26" s="971"/>
      <c r="D26" s="971"/>
      <c r="F26" s="971" t="s">
        <v>1956</v>
      </c>
      <c r="G26" s="971"/>
      <c r="H26" s="971"/>
      <c r="J26" s="971" t="s">
        <v>1956</v>
      </c>
      <c r="K26" s="971"/>
      <c r="L26" s="971"/>
    </row>
    <row r="27" spans="2:12">
      <c r="B27" s="917" t="s">
        <v>1960</v>
      </c>
      <c r="C27" s="920" t="s">
        <v>1984</v>
      </c>
      <c r="D27" s="920" t="s">
        <v>1985</v>
      </c>
      <c r="F27" s="917" t="s">
        <v>1960</v>
      </c>
      <c r="G27" s="920" t="s">
        <v>1984</v>
      </c>
      <c r="H27" s="920" t="s">
        <v>1985</v>
      </c>
      <c r="J27" s="917" t="s">
        <v>1960</v>
      </c>
      <c r="K27" s="920" t="s">
        <v>1984</v>
      </c>
      <c r="L27" s="920" t="s">
        <v>1985</v>
      </c>
    </row>
    <row r="28" spans="2:12">
      <c r="B28" s="914" t="s">
        <v>1961</v>
      </c>
      <c r="C28" s="922" t="s">
        <v>1982</v>
      </c>
      <c r="D28" s="923" t="s">
        <v>1983</v>
      </c>
      <c r="F28" s="914" t="s">
        <v>1961</v>
      </c>
      <c r="G28" s="922" t="s">
        <v>2005</v>
      </c>
      <c r="H28" s="923" t="s">
        <v>2006</v>
      </c>
      <c r="J28" s="914" t="s">
        <v>1961</v>
      </c>
      <c r="K28" s="922" t="s">
        <v>2016</v>
      </c>
      <c r="L28" s="923" t="s">
        <v>2017</v>
      </c>
    </row>
    <row r="29" spans="2:12">
      <c r="B29" s="915" t="s">
        <v>1962</v>
      </c>
      <c r="C29" s="972" t="s">
        <v>1986</v>
      </c>
      <c r="D29" s="973"/>
      <c r="F29" s="915" t="s">
        <v>1962</v>
      </c>
      <c r="G29" s="972" t="s">
        <v>2007</v>
      </c>
      <c r="H29" s="973"/>
      <c r="J29" s="915" t="s">
        <v>1962</v>
      </c>
      <c r="K29" s="972" t="s">
        <v>2001</v>
      </c>
      <c r="L29" s="973"/>
    </row>
    <row r="30" spans="2:12">
      <c r="B30" s="914" t="s">
        <v>1963</v>
      </c>
      <c r="C30" s="974" t="s">
        <v>1987</v>
      </c>
      <c r="D30" s="975"/>
      <c r="F30" s="914" t="s">
        <v>1963</v>
      </c>
      <c r="G30" s="974" t="s">
        <v>2008</v>
      </c>
      <c r="H30" s="975"/>
      <c r="J30" s="914" t="s">
        <v>1963</v>
      </c>
      <c r="K30" s="974" t="s">
        <v>2018</v>
      </c>
      <c r="L30" s="975"/>
    </row>
    <row r="31" spans="2:12">
      <c r="B31" s="915" t="s">
        <v>1964</v>
      </c>
      <c r="C31" s="924" t="s">
        <v>1988</v>
      </c>
      <c r="D31" s="921" t="s">
        <v>1974</v>
      </c>
      <c r="F31" s="915" t="s">
        <v>1964</v>
      </c>
      <c r="G31" s="924" t="s">
        <v>1974</v>
      </c>
      <c r="H31" s="921" t="s">
        <v>2009</v>
      </c>
      <c r="J31" s="915" t="s">
        <v>1964</v>
      </c>
      <c r="K31" s="924" t="s">
        <v>2019</v>
      </c>
      <c r="L31" s="921" t="s">
        <v>2014</v>
      </c>
    </row>
    <row r="32" spans="2:12">
      <c r="B32" s="914" t="s">
        <v>1965</v>
      </c>
      <c r="C32" s="976" t="s">
        <v>1975</v>
      </c>
      <c r="D32" s="976"/>
      <c r="F32" s="914" t="s">
        <v>1965</v>
      </c>
      <c r="G32" s="976" t="s">
        <v>1975</v>
      </c>
      <c r="H32" s="976"/>
      <c r="J32" s="914" t="s">
        <v>1965</v>
      </c>
      <c r="K32" s="976" t="s">
        <v>1975</v>
      </c>
      <c r="L32" s="976"/>
    </row>
    <row r="33" spans="2:12" s="926" customFormat="1">
      <c r="B33" s="916" t="s">
        <v>1989</v>
      </c>
      <c r="C33" s="977" t="s">
        <v>1990</v>
      </c>
      <c r="D33" s="978"/>
      <c r="F33" s="916" t="s">
        <v>1989</v>
      </c>
      <c r="G33" s="977" t="s">
        <v>2010</v>
      </c>
      <c r="H33" s="978"/>
      <c r="J33" s="916" t="s">
        <v>1989</v>
      </c>
      <c r="K33" s="977" t="s">
        <v>2020</v>
      </c>
      <c r="L33" s="978"/>
    </row>
    <row r="34" spans="2:12">
      <c r="B34" s="926"/>
      <c r="C34" s="926"/>
      <c r="D34" s="926"/>
      <c r="F34" s="926"/>
      <c r="G34" s="926"/>
      <c r="H34" s="926"/>
      <c r="J34" s="926"/>
      <c r="K34" s="926"/>
      <c r="L34" s="926"/>
    </row>
    <row r="35" spans="2:12" ht="15.75" thickBot="1">
      <c r="B35" s="968" t="s">
        <v>1966</v>
      </c>
      <c r="C35" s="968"/>
      <c r="D35" s="968"/>
      <c r="F35" s="968" t="s">
        <v>1966</v>
      </c>
      <c r="G35" s="968"/>
      <c r="H35" s="968"/>
      <c r="J35" s="968" t="s">
        <v>1966</v>
      </c>
      <c r="K35" s="968"/>
      <c r="L35" s="968"/>
    </row>
    <row r="36" spans="2:12">
      <c r="B36" s="969" t="s">
        <v>1991</v>
      </c>
      <c r="C36" s="969"/>
      <c r="D36" s="969"/>
      <c r="F36" s="969" t="s">
        <v>2011</v>
      </c>
      <c r="G36" s="969"/>
      <c r="H36" s="969"/>
      <c r="J36" s="969" t="s">
        <v>2021</v>
      </c>
      <c r="K36" s="969"/>
      <c r="L36" s="969"/>
    </row>
    <row r="37" spans="2:12">
      <c r="B37" s="366"/>
      <c r="C37" s="993"/>
      <c r="D37" s="993"/>
    </row>
    <row r="38" spans="2:12" s="932" customFormat="1" ht="19.5" thickBot="1">
      <c r="B38" s="989" t="s">
        <v>2039</v>
      </c>
      <c r="C38" s="989"/>
      <c r="D38" s="989"/>
      <c r="F38" s="990" t="s">
        <v>2040</v>
      </c>
      <c r="G38" s="990"/>
      <c r="H38" s="990"/>
      <c r="J38" s="990" t="s">
        <v>2041</v>
      </c>
      <c r="K38" s="990"/>
      <c r="L38" s="990"/>
    </row>
    <row r="39" spans="2:12" ht="15.75" thickTop="1">
      <c r="B39" s="366"/>
      <c r="C39" s="988"/>
      <c r="D39" s="988"/>
    </row>
    <row r="40" spans="2:12">
      <c r="B40" s="366"/>
      <c r="C40" s="929"/>
      <c r="D40" s="929"/>
    </row>
    <row r="41" spans="2:12">
      <c r="B41" s="366"/>
      <c r="C41" s="936"/>
      <c r="D41" s="936"/>
    </row>
    <row r="42" spans="2:12">
      <c r="B42" s="57"/>
      <c r="C42" s="57"/>
      <c r="D42" s="57"/>
    </row>
    <row r="43" spans="2:12">
      <c r="B43" s="168"/>
      <c r="C43" s="168"/>
      <c r="D43" s="168"/>
    </row>
    <row r="44" spans="2:12">
      <c r="B44" s="168"/>
      <c r="C44" s="168"/>
      <c r="D44" s="168"/>
    </row>
  </sheetData>
  <sheetProtection algorithmName="SHA-512" hashValue="TlId5V/Nr46hDFURCTlH2HqIGzy2SuAuM4ED9nN2tOIQ+2atRQQRbrUpkdZIiWkw5f2VJsQKTQLJktTbR7bHpA==" saltValue="XMviWgj/YCizLdV6bA6aNA==" spinCount="100000" sheet="1" objects="1" scenarios="1"/>
  <mergeCells count="63">
    <mergeCell ref="F38:H38"/>
    <mergeCell ref="J38:L38"/>
    <mergeCell ref="B7:D7"/>
    <mergeCell ref="B14:D14"/>
    <mergeCell ref="C8:D8"/>
    <mergeCell ref="C17:D17"/>
    <mergeCell ref="C18:D18"/>
    <mergeCell ref="C20:D20"/>
    <mergeCell ref="C9:D9"/>
    <mergeCell ref="C11:D11"/>
    <mergeCell ref="C12:D12"/>
    <mergeCell ref="C10:D10"/>
    <mergeCell ref="C29:D29"/>
    <mergeCell ref="C30:D30"/>
    <mergeCell ref="C37:D37"/>
    <mergeCell ref="B22:D22"/>
    <mergeCell ref="B23:D23"/>
    <mergeCell ref="B26:D26"/>
    <mergeCell ref="C39:D39"/>
    <mergeCell ref="C32:D32"/>
    <mergeCell ref="B35:D35"/>
    <mergeCell ref="B36:D36"/>
    <mergeCell ref="C33:D33"/>
    <mergeCell ref="B38:D38"/>
    <mergeCell ref="F7:H7"/>
    <mergeCell ref="G8:H8"/>
    <mergeCell ref="G9:H9"/>
    <mergeCell ref="G10:H10"/>
    <mergeCell ref="G11:H11"/>
    <mergeCell ref="F26:H26"/>
    <mergeCell ref="G29:H29"/>
    <mergeCell ref="G30:H30"/>
    <mergeCell ref="G12:H12"/>
    <mergeCell ref="F14:H14"/>
    <mergeCell ref="G17:H17"/>
    <mergeCell ref="G18:H18"/>
    <mergeCell ref="G20:H20"/>
    <mergeCell ref="K20:L20"/>
    <mergeCell ref="J22:L22"/>
    <mergeCell ref="J23:L23"/>
    <mergeCell ref="F22:H22"/>
    <mergeCell ref="F23:H23"/>
    <mergeCell ref="K11:L11"/>
    <mergeCell ref="K12:L12"/>
    <mergeCell ref="J14:L14"/>
    <mergeCell ref="K17:L17"/>
    <mergeCell ref="K18:L18"/>
    <mergeCell ref="J35:L35"/>
    <mergeCell ref="J36:L36"/>
    <mergeCell ref="B4:L4"/>
    <mergeCell ref="J26:L26"/>
    <mergeCell ref="K29:L29"/>
    <mergeCell ref="K30:L30"/>
    <mergeCell ref="K32:L32"/>
    <mergeCell ref="K33:L33"/>
    <mergeCell ref="G32:H32"/>
    <mergeCell ref="G33:H33"/>
    <mergeCell ref="F35:H35"/>
    <mergeCell ref="F36:H36"/>
    <mergeCell ref="J7:L7"/>
    <mergeCell ref="K8:L8"/>
    <mergeCell ref="K9:L9"/>
    <mergeCell ref="K10:L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CF435"/>
  <sheetViews>
    <sheetView topLeftCell="A40" zoomScale="80" zoomScaleNormal="80" workbookViewId="0">
      <selection activeCell="E52" sqref="E52"/>
    </sheetView>
  </sheetViews>
  <sheetFormatPr defaultRowHeight="15"/>
  <cols>
    <col min="2" max="2" width="9.42578125" customWidth="1"/>
    <col min="3" max="3" width="9.140625" customWidth="1"/>
    <col min="5" max="5" width="12.28515625" bestFit="1" customWidth="1"/>
    <col min="7" max="7" width="9.7109375" customWidth="1"/>
    <col min="9" max="11" width="9.85546875" bestFit="1" customWidth="1"/>
    <col min="12" max="12" width="17.85546875" customWidth="1"/>
    <col min="13" max="13" width="18.28515625" customWidth="1"/>
    <col min="14" max="14" width="21.42578125" bestFit="1" customWidth="1"/>
    <col min="15" max="15" width="11.140625" customWidth="1"/>
    <col min="16" max="16" width="11.140625" bestFit="1" customWidth="1"/>
    <col min="17" max="17" width="15.7109375" customWidth="1"/>
    <col min="18" max="18" width="14.85546875" customWidth="1"/>
    <col min="19" max="19" width="22.42578125" customWidth="1"/>
    <col min="20" max="20" width="12.85546875" customWidth="1"/>
    <col min="21" max="21" width="19.5703125" bestFit="1" customWidth="1"/>
    <col min="22" max="22" width="14.85546875" customWidth="1"/>
    <col min="23" max="23" width="17" customWidth="1"/>
    <col min="24" max="24" width="20" customWidth="1"/>
    <col min="25" max="25" width="20.42578125" customWidth="1"/>
    <col min="26" max="26" width="19.42578125" customWidth="1"/>
    <col min="27" max="27" width="18.28515625" customWidth="1"/>
    <col min="28" max="28" width="21.28515625" customWidth="1"/>
    <col min="29" max="29" width="17.85546875" customWidth="1"/>
    <col min="30" max="32" width="17" bestFit="1" customWidth="1"/>
    <col min="33" max="33" width="20.42578125" customWidth="1"/>
    <col min="34" max="34" width="17" bestFit="1" customWidth="1"/>
    <col min="35" max="35" width="22.85546875" bestFit="1" customWidth="1"/>
    <col min="36" max="36" width="21.7109375" bestFit="1" customWidth="1"/>
    <col min="37" max="37" width="19.7109375" customWidth="1"/>
    <col min="38" max="38" width="17.28515625" customWidth="1"/>
    <col min="39" max="39" width="18" customWidth="1"/>
    <col min="40" max="40" width="17" bestFit="1" customWidth="1"/>
    <col min="41" max="41" width="17" style="776" customWidth="1"/>
    <col min="42" max="42" width="17.5703125" customWidth="1"/>
    <col min="43" max="43" width="22.140625" bestFit="1" customWidth="1"/>
    <col min="44" max="44" width="22.140625" style="776" customWidth="1"/>
    <col min="45" max="45" width="17" bestFit="1" customWidth="1"/>
    <col min="46" max="46" width="14.42578125" customWidth="1"/>
    <col min="48" max="48" width="12.42578125" customWidth="1"/>
  </cols>
  <sheetData>
    <row r="3" spans="1:44">
      <c r="C3" s="996" t="s">
        <v>139</v>
      </c>
      <c r="D3" s="997"/>
      <c r="E3" s="997"/>
      <c r="F3" s="997"/>
      <c r="G3" s="997"/>
      <c r="H3" s="997"/>
      <c r="I3" s="997"/>
      <c r="J3" s="997"/>
      <c r="K3" s="997"/>
      <c r="L3" s="998"/>
      <c r="AK3" s="1010" t="s">
        <v>110</v>
      </c>
      <c r="AL3" s="1010"/>
    </row>
    <row r="4" spans="1:44" s="1" customFormat="1" ht="45">
      <c r="C4" s="1" t="s">
        <v>0</v>
      </c>
      <c r="D4" s="1" t="s">
        <v>1</v>
      </c>
      <c r="E4" s="1" t="s">
        <v>2</v>
      </c>
      <c r="F4" s="1" t="s">
        <v>3</v>
      </c>
      <c r="G4" s="1" t="s">
        <v>4</v>
      </c>
      <c r="H4" s="1" t="s">
        <v>135</v>
      </c>
      <c r="I4" s="1" t="s">
        <v>138</v>
      </c>
      <c r="J4" s="1" t="s">
        <v>137</v>
      </c>
      <c r="K4" s="1" t="s">
        <v>8</v>
      </c>
      <c r="L4" s="1" t="s">
        <v>9</v>
      </c>
      <c r="M4" s="1" t="s">
        <v>16</v>
      </c>
      <c r="N4" s="1" t="s">
        <v>17</v>
      </c>
      <c r="O4" s="1" t="s">
        <v>40</v>
      </c>
      <c r="P4" s="1" t="s">
        <v>27</v>
      </c>
      <c r="Q4" s="1" t="s">
        <v>28</v>
      </c>
      <c r="R4" s="1" t="s">
        <v>10</v>
      </c>
      <c r="S4" s="1" t="s">
        <v>29</v>
      </c>
      <c r="T4" s="1" t="s">
        <v>29</v>
      </c>
      <c r="U4" s="1" t="s">
        <v>136</v>
      </c>
      <c r="V4" s="1" t="s">
        <v>30</v>
      </c>
      <c r="W4" s="1" t="s">
        <v>31</v>
      </c>
      <c r="X4" s="1" t="s">
        <v>33</v>
      </c>
      <c r="Y4" s="1" t="s">
        <v>34</v>
      </c>
      <c r="AA4" s="1" t="s">
        <v>35</v>
      </c>
      <c r="AB4" s="1" t="s">
        <v>1902</v>
      </c>
      <c r="AC4" s="1" t="s">
        <v>36</v>
      </c>
      <c r="AD4" s="1" t="s">
        <v>37</v>
      </c>
      <c r="AE4" s="1" t="s">
        <v>1903</v>
      </c>
      <c r="AF4" s="1" t="s">
        <v>38</v>
      </c>
      <c r="AH4" s="1" t="s">
        <v>39</v>
      </c>
      <c r="AI4" s="1" t="s">
        <v>106</v>
      </c>
      <c r="AJ4" s="1" t="s">
        <v>107</v>
      </c>
      <c r="AK4" s="1" t="s">
        <v>108</v>
      </c>
      <c r="AL4" s="1" t="s">
        <v>109</v>
      </c>
      <c r="AM4" s="1" t="s">
        <v>125</v>
      </c>
      <c r="AN4" s="1" t="s">
        <v>256</v>
      </c>
      <c r="AP4" s="195" t="s">
        <v>392</v>
      </c>
    </row>
    <row r="5" spans="1:44" s="2" customFormat="1">
      <c r="A5" s="2" t="s">
        <v>18</v>
      </c>
      <c r="C5" s="2" t="s">
        <v>5</v>
      </c>
      <c r="D5" s="2" t="s">
        <v>5</v>
      </c>
      <c r="F5" s="2" t="s">
        <v>6</v>
      </c>
      <c r="G5" s="2" t="s">
        <v>6</v>
      </c>
      <c r="H5" s="2" t="s">
        <v>7</v>
      </c>
      <c r="I5" s="2" t="s">
        <v>7</v>
      </c>
      <c r="J5" s="2" t="s">
        <v>7</v>
      </c>
      <c r="K5" s="2" t="s">
        <v>6</v>
      </c>
      <c r="L5" s="2" t="s">
        <v>6</v>
      </c>
      <c r="M5" s="2" t="s">
        <v>17</v>
      </c>
      <c r="N5" s="2" t="s">
        <v>18</v>
      </c>
      <c r="O5" s="2" t="s">
        <v>18</v>
      </c>
      <c r="P5" s="2" t="s">
        <v>18</v>
      </c>
      <c r="Q5" s="2" t="s">
        <v>18</v>
      </c>
      <c r="R5" s="2" t="s">
        <v>18</v>
      </c>
      <c r="S5" s="2" t="s">
        <v>7</v>
      </c>
      <c r="T5" s="2" t="s">
        <v>7</v>
      </c>
      <c r="U5" s="2" t="s">
        <v>7</v>
      </c>
      <c r="V5" s="2" t="s">
        <v>7</v>
      </c>
      <c r="W5" s="2" t="s">
        <v>18</v>
      </c>
      <c r="X5" s="2" t="s">
        <v>32</v>
      </c>
      <c r="Y5" s="2" t="s">
        <v>32</v>
      </c>
      <c r="Z5" s="18"/>
      <c r="AA5" s="2" t="s">
        <v>17</v>
      </c>
      <c r="AB5" s="2" t="s">
        <v>18</v>
      </c>
      <c r="AC5" s="2" t="s">
        <v>5</v>
      </c>
      <c r="AD5" s="2" t="s">
        <v>5</v>
      </c>
      <c r="AE5" s="2" t="s">
        <v>18</v>
      </c>
      <c r="AF5" s="2" t="s">
        <v>18</v>
      </c>
      <c r="AH5" s="2" t="s">
        <v>41</v>
      </c>
      <c r="AI5" s="2" t="s">
        <v>80</v>
      </c>
      <c r="AJ5" s="28" t="s">
        <v>80</v>
      </c>
      <c r="AK5" s="2" t="s">
        <v>7</v>
      </c>
      <c r="AO5" s="775"/>
      <c r="AP5" s="8" t="s">
        <v>80</v>
      </c>
      <c r="AR5" s="775"/>
    </row>
    <row r="6" spans="1:44">
      <c r="F6" s="2"/>
      <c r="G6" s="2"/>
      <c r="H6" s="2"/>
      <c r="I6" s="2"/>
      <c r="J6" s="2"/>
      <c r="K6" s="2"/>
      <c r="L6" s="2"/>
      <c r="M6" s="2"/>
      <c r="N6" s="2"/>
      <c r="O6" s="2"/>
      <c r="P6" s="2"/>
      <c r="Q6" s="2"/>
      <c r="R6" s="2"/>
      <c r="S6" s="2"/>
      <c r="T6" s="2"/>
      <c r="U6" s="2"/>
      <c r="AP6" s="46"/>
    </row>
    <row r="7" spans="1:44">
      <c r="A7" s="2">
        <f>AF7</f>
        <v>0</v>
      </c>
      <c r="B7" s="2" t="s">
        <v>19</v>
      </c>
      <c r="C7" s="2">
        <v>3</v>
      </c>
      <c r="D7" s="2">
        <v>600</v>
      </c>
      <c r="E7" s="2">
        <v>8000</v>
      </c>
      <c r="F7" s="2">
        <v>1250</v>
      </c>
      <c r="G7" s="2">
        <v>20</v>
      </c>
      <c r="H7" s="2">
        <v>10</v>
      </c>
      <c r="I7" s="2">
        <v>4</v>
      </c>
      <c r="J7" s="2">
        <v>2.2999999999999998</v>
      </c>
      <c r="K7" s="2">
        <v>2800</v>
      </c>
      <c r="L7" s="2">
        <v>5200</v>
      </c>
      <c r="M7" s="2">
        <f>Data!$M$28/Data!C7*60</f>
        <v>20</v>
      </c>
      <c r="N7" s="2">
        <f>IF(M7&lt;=E7,0,1)</f>
        <v>0</v>
      </c>
      <c r="O7" s="6">
        <f>IF(Data!$M$29&gt;20,1,0)</f>
        <v>0</v>
      </c>
      <c r="P7" s="2">
        <f>IF(Data!$M$23&lt;=Data!F7,0,1)</f>
        <v>0</v>
      </c>
      <c r="Q7" s="2">
        <f>IF(Data!$M$24&lt;=Data!G7,0,1)</f>
        <v>0</v>
      </c>
      <c r="R7" s="2">
        <f>IF(Data!$M$25&lt;=Data!D7,0,1)</f>
        <v>0</v>
      </c>
      <c r="S7" s="2">
        <v>0.05</v>
      </c>
      <c r="T7" s="3">
        <f t="shared" ref="T7:T12" si="0">M7/E7*S7*2+S7</f>
        <v>5.0250000000000003E-2</v>
      </c>
      <c r="U7" s="4">
        <f>Data!$M$23*Data!C7/2000/PI()/0.8+Data!T7</f>
        <v>5.0846831036594611E-2</v>
      </c>
      <c r="V7" s="4">
        <f>(Data!$M$23+$M$26*Data!$M$29)*Data!C7/2000/PI()/0.8+T7</f>
        <v>5.0846831036594611E-2</v>
      </c>
      <c r="W7" s="2">
        <f>IF(V7&lt;J7,0,1)</f>
        <v>0</v>
      </c>
      <c r="X7" s="5">
        <f>1000000/60/M7*(L7/$R$25/(0.62*30+1.17*(Data!$M$23+$M$26*Data!$M$29+30)))^3</f>
        <v>709290109.95275056</v>
      </c>
      <c r="Y7" s="5">
        <f>1000000/60/M7*(K7/$R$25/(Data!$M$23+$M$26*Data!$M$29+30))^3</f>
        <v>614055699.14851248</v>
      </c>
      <c r="Z7" s="5">
        <f>MIN(X7:Y7)</f>
        <v>614055699.14851248</v>
      </c>
      <c r="AA7" s="5">
        <f>0.8*1.56*1.2*10^8*8.9/(50+Data!$M$25)^2</f>
        <v>512442.90657439455</v>
      </c>
      <c r="AB7" s="2">
        <f>IF(AA7&gt;M7,0,1)</f>
        <v>0</v>
      </c>
      <c r="AC7" s="5">
        <f>SQRT((PI())^2*2.1*10^6*0.03/(Data!$M$23+Data!$M$23/10*Data!$M$29)*0.8*2*10)/100*0.8*1000-50</f>
        <v>24008.790098859477</v>
      </c>
      <c r="AD7" s="5">
        <f>(SQRT(PI()^2*2.1*1000000*0.5/4/(Data!$M$23/10+1))/100*0.8)*1000-50</f>
        <v>12227.44991061037</v>
      </c>
      <c r="AE7" s="2">
        <f>IF(AND(AC7&gt;Data!$M$25,Data!AD7&gt;Data!$M$25),0,1)</f>
        <v>0</v>
      </c>
      <c r="AF7" s="2">
        <f>AE7+AB7+W7+R7+Q7+P7+N7+O7</f>
        <v>0</v>
      </c>
      <c r="AG7" s="2">
        <v>1</v>
      </c>
      <c r="AH7" s="7">
        <f>Z7*60*$M$28/2/$M$25/Input!$C$22/Input!$C$23/Input!$C$24</f>
        <v>18421670974.455376</v>
      </c>
      <c r="AI7" s="28">
        <f>($M$25+100)/1000*0.62/2*0.5^2</f>
        <v>7.8275000000000011E-3</v>
      </c>
      <c r="AJ7" s="28">
        <f>$M$26*($M$28/1000*60/2/3.14/Data!M7)^2*10^4</f>
        <v>0</v>
      </c>
      <c r="AK7" s="47">
        <f t="shared" ref="AK7:AK13" si="1">$L$117+$F$59+U7/$L$116/$E$59/$L$115</f>
        <v>5.6496478929549565E-2</v>
      </c>
      <c r="AL7" s="162">
        <f ca="1">V7/$L$116/$E$59/Data!$L$115+$L$117+$F$59+($H$149+$L$118+(Data!AJ7+Data!AI7)/Data!$L$115^2)*3.14/Data!$L$115*Data!M7/Data!$C$43/10000/30</f>
        <v>9.1628368929549564E-2</v>
      </c>
      <c r="AM7" s="4">
        <f ca="1">($H$149+$L$118+(Data!AJ7+Data!AI7)/Data!$L$115^2)/$H$149</f>
        <v>1.048921875</v>
      </c>
      <c r="AN7" s="4">
        <f t="shared" ref="AN7:AN13" si="2">IF(OR($C$59=1,$C$59=3),(AI7+AJ7)/$L$115^2+$L$118,(AI7+AJ7+AP7)/$L$115^2+$L$118)</f>
        <v>7.8275000000000011E-3</v>
      </c>
      <c r="AO7" s="4"/>
      <c r="AP7" s="46">
        <v>0.5</v>
      </c>
    </row>
    <row r="8" spans="1:44">
      <c r="A8" s="56">
        <f t="shared" ref="A8:A13" si="3">AF8</f>
        <v>0</v>
      </c>
      <c r="B8" s="2" t="s">
        <v>20</v>
      </c>
      <c r="C8" s="2">
        <v>10</v>
      </c>
      <c r="D8" s="2">
        <v>600</v>
      </c>
      <c r="E8" s="2">
        <v>8000</v>
      </c>
      <c r="F8" s="2">
        <v>1250</v>
      </c>
      <c r="G8" s="2">
        <v>20</v>
      </c>
      <c r="H8" s="2">
        <v>10</v>
      </c>
      <c r="I8" s="2">
        <v>4</v>
      </c>
      <c r="J8" s="2">
        <v>2.2999999999999998</v>
      </c>
      <c r="K8" s="2">
        <v>2500</v>
      </c>
      <c r="L8" s="2">
        <v>5200</v>
      </c>
      <c r="M8" s="2">
        <f>Data!$M$28/Data!C8*60</f>
        <v>6</v>
      </c>
      <c r="N8" s="56">
        <f t="shared" ref="N8:N13" si="4">IF(M8&lt;=E8,0,1)</f>
        <v>0</v>
      </c>
      <c r="O8" s="6">
        <f>IF(Data!$M$29&gt;20,1,0)</f>
        <v>0</v>
      </c>
      <c r="P8" s="56">
        <f>IF(Data!$M$23&lt;=Data!F8,0,1)</f>
        <v>0</v>
      </c>
      <c r="Q8" s="56">
        <f>IF(Data!$M$24&lt;=Data!G8,0,1)</f>
        <v>0</v>
      </c>
      <c r="R8" s="56">
        <f>IF(Data!$M$25&lt;=Data!D8,0,1)</f>
        <v>0</v>
      </c>
      <c r="S8" s="2">
        <v>0.15</v>
      </c>
      <c r="T8" s="3">
        <f t="shared" si="0"/>
        <v>0.150225</v>
      </c>
      <c r="U8" s="4">
        <f>Data!$M$23*Data!C8/2000/PI()/0.8+Data!T8</f>
        <v>0.15221443678864868</v>
      </c>
      <c r="V8" s="4">
        <f>(Data!$M$23+$M$26*Data!$M$29)*Data!C8/2000/PI()/0.8+T8</f>
        <v>0.15221443678864868</v>
      </c>
      <c r="W8" s="2">
        <f t="shared" ref="W8:W13" si="5">IF(V8&lt;J8,0,1)</f>
        <v>0</v>
      </c>
      <c r="X8" s="5">
        <f>1000000/60/M8*(L8/$R$25/(0.62*30+1.17*(Data!$M$23+$M$26*Data!$M$29+30)))^3</f>
        <v>2364300366.5091681</v>
      </c>
      <c r="Y8" s="5">
        <f>1000000/60/M8*(K8/$R$25/(Data!$M$23+$M$26*Data!$M$29+30))^3</f>
        <v>1456909059.0372183</v>
      </c>
      <c r="Z8" s="5">
        <f t="shared" ref="Z8:Z13" si="6">MIN(X8:Y8)</f>
        <v>1456909059.0372183</v>
      </c>
      <c r="AA8" s="5">
        <f>0.8*1.56*1.2*10^8*8.9/(50+Data!$M$25)^2</f>
        <v>512442.90657439455</v>
      </c>
      <c r="AB8" s="2">
        <f t="shared" ref="AB8:AB13" si="7">IF(AA8&gt;M8,0,1)</f>
        <v>0</v>
      </c>
      <c r="AC8" s="5">
        <f>SQRT((PI())^2*2.1*10^6*0.03/(Data!$M$23+Data!$M$23/10*Data!$M$29)*0.8*2*10)/100*0.8*1000-50</f>
        <v>24008.790098859477</v>
      </c>
      <c r="AD8" s="5">
        <f>(SQRT(PI()^2*2.1*1000000*0.5/4/(Data!$M$23/10+1))/100*0.8)*1000-50</f>
        <v>12227.44991061037</v>
      </c>
      <c r="AE8" s="2">
        <f>IF(AND(AC8&gt;Data!$M$25,Data!AD8&gt;Data!$M$25),0,1)</f>
        <v>0</v>
      </c>
      <c r="AF8" s="2">
        <f t="shared" ref="AF8:AF13" si="8">AE8+AB8+W8+R8+Q8+P8+N8+O8</f>
        <v>0</v>
      </c>
      <c r="AG8" s="2">
        <v>2</v>
      </c>
      <c r="AH8" s="7">
        <f>Z8*60*$M$28/2/$M$25/Input!$C$22/Input!$C$23/Input!$C$24</f>
        <v>43707271771.116547</v>
      </c>
      <c r="AI8" s="52">
        <f>($M$25+100)/1000*0.62/2*0.5^2</f>
        <v>7.8275000000000011E-3</v>
      </c>
      <c r="AJ8" s="52">
        <f>$M$26*($M$28/1000*60/2/3.14/Data!M8)^2*10^4</f>
        <v>0</v>
      </c>
      <c r="AK8" s="47">
        <f t="shared" si="1"/>
        <v>0.16912715198738743</v>
      </c>
      <c r="AL8" s="162">
        <f ca="1">V8/$L$116/$E$59/Data!$L$115+$L$117+$F$59+($H$149+$L$118+(Data!AJ8+Data!AI8)/Data!$L$115^2)*3.14/Data!$L$115*Data!M8/Data!$C$43/10000/30</f>
        <v>0.17966671898738742</v>
      </c>
      <c r="AM8" s="4">
        <f ca="1">($H$149+$L$118+(Data!AJ8+Data!AI8)/Data!$L$115^2)/$H$149</f>
        <v>1.048921875</v>
      </c>
      <c r="AN8" s="4">
        <f t="shared" si="2"/>
        <v>7.8275000000000011E-3</v>
      </c>
      <c r="AO8" s="4"/>
      <c r="AP8" s="46">
        <v>0.5</v>
      </c>
    </row>
    <row r="9" spans="1:44">
      <c r="A9" s="56">
        <f t="shared" si="3"/>
        <v>0</v>
      </c>
      <c r="B9" s="2" t="s">
        <v>21</v>
      </c>
      <c r="C9" s="2">
        <v>4</v>
      </c>
      <c r="D9" s="2">
        <v>1200</v>
      </c>
      <c r="E9" s="2">
        <v>6000</v>
      </c>
      <c r="F9" s="2">
        <v>3200</v>
      </c>
      <c r="G9" s="2">
        <v>20</v>
      </c>
      <c r="H9" s="2">
        <v>25</v>
      </c>
      <c r="I9" s="2">
        <v>9.1999999999999993</v>
      </c>
      <c r="J9" s="2">
        <v>5.0999999999999996</v>
      </c>
      <c r="K9" s="2">
        <v>4800</v>
      </c>
      <c r="L9" s="2">
        <v>7610</v>
      </c>
      <c r="M9" s="2">
        <f>Data!$M$28/Data!C9*60</f>
        <v>15</v>
      </c>
      <c r="N9" s="56">
        <f t="shared" si="4"/>
        <v>0</v>
      </c>
      <c r="O9" s="6">
        <f>IF(Data!$M$29&gt;20,1,0)</f>
        <v>0</v>
      </c>
      <c r="P9" s="56">
        <f>IF(Data!$M$23&lt;=Data!F9,0,1)</f>
        <v>0</v>
      </c>
      <c r="Q9" s="56">
        <f>IF(Data!$M$24&lt;=Data!G9,0,1)</f>
        <v>0</v>
      </c>
      <c r="R9" s="56">
        <f>IF(Data!$M$25&lt;=Data!D9,0,1)</f>
        <v>0</v>
      </c>
      <c r="S9" s="2">
        <v>7.0000000000000007E-2</v>
      </c>
      <c r="T9" s="3">
        <f t="shared" si="0"/>
        <v>7.035000000000001E-2</v>
      </c>
      <c r="U9" s="4">
        <f>Data!$M$23*Data!C9/2000/PI()/0.8+Data!T9</f>
        <v>7.1145774715459492E-2</v>
      </c>
      <c r="V9" s="4">
        <f>(Data!$M$23+$M$26*Data!$M$29)*Data!C9/2000/PI()/0.8+T9</f>
        <v>7.1145774715459492E-2</v>
      </c>
      <c r="W9" s="2">
        <f t="shared" si="5"/>
        <v>0</v>
      </c>
      <c r="X9" s="5">
        <f>1000000/60/M9*(L9/$R$25/(0.62*30+1.17*(Data!$M$23+$M$26*Data!$M$29+30)))^3</f>
        <v>2964193702.5857754</v>
      </c>
      <c r="Y9" s="5">
        <f>1000000/60/M9*(K9/$R$25/(Data!$M$23+$M$26*Data!$M$29+30))^3</f>
        <v>4124735658.4203291</v>
      </c>
      <c r="Z9" s="5">
        <f t="shared" si="6"/>
        <v>2964193702.5857754</v>
      </c>
      <c r="AA9" s="5">
        <f>0.8*1.56*1.2*10^8*10.75/(50+Data!$M$25)^2</f>
        <v>618961.93771626311</v>
      </c>
      <c r="AB9" s="2">
        <f t="shared" si="7"/>
        <v>0</v>
      </c>
      <c r="AC9" s="5">
        <f>SQRT((PI())^2*2.1*10^6*0.07/(Data!$M$23+Data!$M$23/10*Data!$M$29)*0.8*2*10)/100*0.8*1000-50</f>
        <v>36700.408919025889</v>
      </c>
      <c r="AD9" s="5">
        <f>(SQRT(PI()^2*2.1*1000000*0.5/4/(Data!$M$23/10+1))/100*0.8)*1000-50</f>
        <v>12227.44991061037</v>
      </c>
      <c r="AE9" s="2">
        <f>IF(AND(AC9&gt;Data!$M$25,Data!AD9&gt;Data!$M$25),0,1)</f>
        <v>0</v>
      </c>
      <c r="AF9" s="2">
        <f t="shared" si="8"/>
        <v>0</v>
      </c>
      <c r="AG9" s="2">
        <v>3</v>
      </c>
      <c r="AH9" s="7">
        <f>Z9*60*$M$28/2/$M$25/Input!$C$22/Input!$C$23/Input!$C$24</f>
        <v>88925811077.573257</v>
      </c>
      <c r="AI9" s="28">
        <f>(M25+100)/1000*0.89/2*0.6^2</f>
        <v>1.6180200000000002E-2</v>
      </c>
      <c r="AJ9" s="52">
        <f>$M$26*($M$28/1000*60/2/3.14/Data!M9)^2*10^4</f>
        <v>0</v>
      </c>
      <c r="AK9" s="47">
        <f t="shared" si="1"/>
        <v>7.9050860794954991E-2</v>
      </c>
      <c r="AL9" s="162">
        <f ca="1">V9/$L$116/$E$59/Data!$L$115+$L$117+$F$59+($H$149+$L$118+(Data!AJ9+Data!AI9)/Data!$L$115^2)*3.14/Data!$L$115*Data!M9/Data!$C$43/10000/30</f>
        <v>0.106711152194955</v>
      </c>
      <c r="AM9" s="4">
        <f ca="1">($H$149+$L$118+(Data!AJ9+Data!AI9)/Data!$L$115^2)/$H$149</f>
        <v>1.1011262500000001</v>
      </c>
      <c r="AN9" s="4">
        <f t="shared" si="2"/>
        <v>1.6180200000000002E-2</v>
      </c>
      <c r="AO9" s="4"/>
      <c r="AP9" s="46">
        <v>0.6</v>
      </c>
    </row>
    <row r="10" spans="1:44">
      <c r="A10" s="56">
        <f t="shared" si="3"/>
        <v>0</v>
      </c>
      <c r="B10" s="2" t="s">
        <v>22</v>
      </c>
      <c r="C10" s="2">
        <v>10</v>
      </c>
      <c r="D10" s="2">
        <v>1200</v>
      </c>
      <c r="E10" s="2">
        <v>6000</v>
      </c>
      <c r="F10" s="2">
        <v>3200</v>
      </c>
      <c r="G10" s="2">
        <v>20</v>
      </c>
      <c r="H10" s="2">
        <v>25</v>
      </c>
      <c r="I10" s="2">
        <v>9.1999999999999993</v>
      </c>
      <c r="J10" s="2">
        <v>5.0999999999999996</v>
      </c>
      <c r="K10" s="2">
        <v>7300</v>
      </c>
      <c r="L10" s="2">
        <v>7610</v>
      </c>
      <c r="M10" s="2">
        <f>Data!$M$28/Data!C10*60</f>
        <v>6</v>
      </c>
      <c r="N10" s="56">
        <f t="shared" si="4"/>
        <v>0</v>
      </c>
      <c r="O10" s="6">
        <f>IF(Data!$M$29&gt;20,1,0)</f>
        <v>0</v>
      </c>
      <c r="P10" s="56">
        <f>IF(Data!$M$23&lt;=Data!F10,0,1)</f>
        <v>0</v>
      </c>
      <c r="Q10" s="56">
        <f>IF(Data!$M$24&lt;=Data!G10,0,1)</f>
        <v>0</v>
      </c>
      <c r="R10" s="56">
        <f>IF(Data!$M$25&lt;=Data!D10,0,1)</f>
        <v>0</v>
      </c>
      <c r="S10" s="2">
        <v>0.18</v>
      </c>
      <c r="T10" s="3">
        <f t="shared" si="0"/>
        <v>0.18035999999999999</v>
      </c>
      <c r="U10" s="4">
        <f>Data!$M$23*Data!C10/2000/PI()/0.8+Data!T10</f>
        <v>0.18234943678864868</v>
      </c>
      <c r="V10" s="4">
        <f>(Data!$M$23+$M$26*Data!$M$29)*Data!C10/2000/PI()/0.8+T10</f>
        <v>0.18234943678864868</v>
      </c>
      <c r="W10" s="2">
        <f t="shared" si="5"/>
        <v>0</v>
      </c>
      <c r="X10" s="5">
        <f>1000000/60/M10*(L10/$R$25/(0.62*30+1.17*(Data!$M$23+$M$26*Data!$M$29+30)))^3</f>
        <v>7410484256.4644384</v>
      </c>
      <c r="Y10" s="5">
        <f>1000000/60/M10*(K10/$R$25/(Data!$M$23+$M$26*Data!$M$29+30))^3</f>
        <v>36272793050.846817</v>
      </c>
      <c r="Z10" s="5">
        <f t="shared" si="6"/>
        <v>7410484256.4644384</v>
      </c>
      <c r="AA10" s="5">
        <f>0.8*1.56*1.2*10^8*10.75/(50+Data!$M$25)^2</f>
        <v>618961.93771626311</v>
      </c>
      <c r="AB10" s="2">
        <f t="shared" si="7"/>
        <v>0</v>
      </c>
      <c r="AC10" s="5">
        <f>SQRT((PI())^2*2.1*10^6*0.07/(Data!$M$23+Data!$M$23/10*Data!$M$29)*0.8*2*10)/100*0.8*1000-50</f>
        <v>36700.408919025889</v>
      </c>
      <c r="AD10" s="5">
        <f>(SQRT(PI()^2*2.1*1000000*0.5/4/(Data!$M$23/10+1))/100*0.8)*1000-50</f>
        <v>12227.44991061037</v>
      </c>
      <c r="AE10" s="2">
        <f>IF(AND(AC10&gt;Data!$M$25,Data!AD10&gt;Data!$M$25),0,1)</f>
        <v>0</v>
      </c>
      <c r="AF10" s="2">
        <f t="shared" si="8"/>
        <v>0</v>
      </c>
      <c r="AG10" s="2">
        <v>4</v>
      </c>
      <c r="AH10" s="7">
        <f>Z10*60*$M$28/2/$M$25/Input!$C$22/Input!$C$23/Input!$C$24</f>
        <v>222314527693.93317</v>
      </c>
      <c r="AI10" s="28">
        <f>(M25+100)/1000*0.89/2*0.6^2</f>
        <v>1.6180200000000002E-2</v>
      </c>
      <c r="AJ10" s="52">
        <f>$M$26*($M$28/1000*60/2/3.14/Data!M10)^2*10^4</f>
        <v>0</v>
      </c>
      <c r="AK10" s="47">
        <f t="shared" si="1"/>
        <v>0.20261048532072073</v>
      </c>
      <c r="AL10" s="175">
        <f ca="1">V10/$L$116/$E$59/Data!$L$115+$L$117+$F$59+($H$149+$L$118+(Data!AJ10+Data!AI10)/Data!$L$115^2)*3.14/Data!$L$115*Data!M10/Data!$C$43/10000/30</f>
        <v>0.21367460188072074</v>
      </c>
      <c r="AM10" s="4">
        <f ca="1">($H$149+$L$118+(Data!AJ10+Data!AI10)/Data!$L$115^2)/$H$149</f>
        <v>1.1011262500000001</v>
      </c>
      <c r="AN10" s="4">
        <f t="shared" si="2"/>
        <v>1.6180200000000002E-2</v>
      </c>
      <c r="AO10" s="4"/>
      <c r="AP10" s="46">
        <v>0.6</v>
      </c>
    </row>
    <row r="11" spans="1:44">
      <c r="A11" s="56">
        <f t="shared" si="3"/>
        <v>0</v>
      </c>
      <c r="B11" s="2" t="s">
        <v>23</v>
      </c>
      <c r="C11" s="2">
        <v>5</v>
      </c>
      <c r="D11" s="2">
        <v>1200</v>
      </c>
      <c r="E11" s="2">
        <v>5000</v>
      </c>
      <c r="F11" s="2">
        <v>6000</v>
      </c>
      <c r="G11" s="2">
        <v>50</v>
      </c>
      <c r="H11" s="2">
        <v>25</v>
      </c>
      <c r="I11" s="2">
        <v>24</v>
      </c>
      <c r="J11" s="2">
        <v>5.8</v>
      </c>
      <c r="K11" s="2">
        <v>14800</v>
      </c>
      <c r="L11" s="2">
        <v>11200</v>
      </c>
      <c r="M11" s="2">
        <f>Data!$M$28/Data!C11*60</f>
        <v>12</v>
      </c>
      <c r="N11" s="56">
        <f t="shared" si="4"/>
        <v>0</v>
      </c>
      <c r="O11" s="6">
        <f>IF(Data!$M$29&gt;20,1,0)</f>
        <v>0</v>
      </c>
      <c r="P11" s="56">
        <f>IF(Data!$M$23&lt;=Data!F11,0,1)</f>
        <v>0</v>
      </c>
      <c r="Q11" s="56">
        <f>IF(Data!$M$24&lt;=Data!G11,0,1)</f>
        <v>0</v>
      </c>
      <c r="R11" s="56">
        <f>IF(Data!$M$25&lt;=Data!D11,0,1)</f>
        <v>0</v>
      </c>
      <c r="S11" s="2">
        <v>0.1</v>
      </c>
      <c r="T11" s="3">
        <f t="shared" si="0"/>
        <v>0.10048</v>
      </c>
      <c r="U11" s="4">
        <f>Data!$M$23*Data!C11/2000/PI()/0.8+Data!T11</f>
        <v>0.10147471839432434</v>
      </c>
      <c r="V11" s="4">
        <f>(Data!$M$23+$M$26*Data!$M$29)*Data!C11/2000/PI()/0.8+T11</f>
        <v>0.10147471839432434</v>
      </c>
      <c r="W11" s="2">
        <f t="shared" si="5"/>
        <v>0</v>
      </c>
      <c r="X11" s="5">
        <f>1000000/60/M11*(L11/$R$25/(0.62*30+1.17*(Data!$M$23+$M$26*Data!$M$29+30)))^3</f>
        <v>11811816487.394007</v>
      </c>
      <c r="Y11" s="5">
        <f>1000000/60/M11*(K11/$R$25/(Data!$M$23+$M$26*Data!$M$29+30))^3</f>
        <v>151135876234.06027</v>
      </c>
      <c r="Z11" s="5">
        <f t="shared" si="6"/>
        <v>11811816487.394007</v>
      </c>
      <c r="AA11" s="5">
        <f>0.8*1.56*1.2*10^8*18.25/(50+Data!$M$25)^2</f>
        <v>1050795.8477508652</v>
      </c>
      <c r="AB11" s="2">
        <f t="shared" si="7"/>
        <v>0</v>
      </c>
      <c r="AC11" s="5">
        <f>SQRT((PI())^2*2.1*10^6*0.55/(Data!$M$23+Data!$M$23/10*Data!$M$29)*0.8*2*10)/100*0.8*1000-50</f>
        <v>102963.58479371195</v>
      </c>
      <c r="AD11" s="5">
        <f>(SQRT(PI()^2*2.1*1000000*1.4/4/(Data!$M$23/10+1))/100*0.8)*1000-50</f>
        <v>20494.103135964109</v>
      </c>
      <c r="AE11" s="2">
        <f>IF(AND(AC11&gt;Data!$M$25,Data!AD11&gt;Data!$M$25),0,1)</f>
        <v>0</v>
      </c>
      <c r="AF11" s="2">
        <f t="shared" si="8"/>
        <v>0</v>
      </c>
      <c r="AG11" s="2">
        <v>5</v>
      </c>
      <c r="AH11" s="7">
        <f>Z11*60*$M$28/2/$M$25/Input!$C$22/Input!$C$23/Input!$C$24</f>
        <v>354354494621.82019</v>
      </c>
      <c r="AI11" s="28">
        <f>($M$25+100)/1000*2.47/2*1^2</f>
        <v>0.12473500000000001</v>
      </c>
      <c r="AJ11" s="52">
        <f>$M$26*($M$28/1000*60/2/3.14/Data!M11)^2*10^4</f>
        <v>0</v>
      </c>
      <c r="AK11" s="47">
        <f t="shared" si="1"/>
        <v>0.11274968710480482</v>
      </c>
      <c r="AL11" s="162">
        <f ca="1">V11/$L$116/$E$59/Data!$L$115+$L$117+$F$59+($H$149+$L$118+(Data!AJ11+Data!AI11)/Data!$L$115^2)*3.14/Data!$L$115*Data!M11/Data!$C$43/10000/30</f>
        <v>0.14851240310480482</v>
      </c>
      <c r="AM11" s="4">
        <f ca="1">($H$149+$L$118+(Data!AJ11+Data!AI11)/Data!$L$115^2)/$H$149</f>
        <v>1.7795937500000001</v>
      </c>
      <c r="AN11" s="4">
        <f t="shared" si="2"/>
        <v>0.12473500000000001</v>
      </c>
      <c r="AO11" s="4"/>
      <c r="AP11" s="46">
        <v>0.8</v>
      </c>
    </row>
    <row r="12" spans="1:44">
      <c r="A12" s="56">
        <f t="shared" si="3"/>
        <v>0</v>
      </c>
      <c r="B12" s="2" t="s">
        <v>24</v>
      </c>
      <c r="C12" s="2">
        <v>10</v>
      </c>
      <c r="D12" s="2">
        <v>1200</v>
      </c>
      <c r="E12" s="2">
        <v>5000</v>
      </c>
      <c r="F12" s="2">
        <v>6000</v>
      </c>
      <c r="G12" s="2">
        <v>50</v>
      </c>
      <c r="H12" s="2">
        <v>25</v>
      </c>
      <c r="I12" s="2">
        <v>24</v>
      </c>
      <c r="J12" s="2">
        <v>5.8</v>
      </c>
      <c r="K12" s="2">
        <v>15200</v>
      </c>
      <c r="L12" s="2">
        <v>11200</v>
      </c>
      <c r="M12" s="2">
        <f>Data!$M$28/Data!C12*60</f>
        <v>6</v>
      </c>
      <c r="N12" s="56">
        <f t="shared" si="4"/>
        <v>0</v>
      </c>
      <c r="O12" s="6">
        <f>IF(Data!$M$29&gt;20,1,0)</f>
        <v>0</v>
      </c>
      <c r="P12" s="56">
        <f>IF(Data!$M$23&lt;=Data!F12,0,1)</f>
        <v>0</v>
      </c>
      <c r="Q12" s="56">
        <f>IF(Data!$M$24&lt;=Data!G12,0,1)</f>
        <v>0</v>
      </c>
      <c r="R12" s="56">
        <f>IF(Data!$M$25&lt;=Data!D12,0,1)</f>
        <v>0</v>
      </c>
      <c r="S12" s="2">
        <v>0.2</v>
      </c>
      <c r="T12" s="3">
        <f t="shared" si="0"/>
        <v>0.20048000000000002</v>
      </c>
      <c r="U12" s="4">
        <f>Data!$M$23*Data!C12/2000/PI()/0.8+Data!T12</f>
        <v>0.2024694367886487</v>
      </c>
      <c r="V12" s="4">
        <f>(Data!$M$23+$M$26*Data!$M$29)*Data!C12/2000/PI()/0.8+T12</f>
        <v>0.2024694367886487</v>
      </c>
      <c r="W12" s="2">
        <f t="shared" si="5"/>
        <v>0</v>
      </c>
      <c r="X12" s="5">
        <f>1000000/60/M12*(L12/$R$25/(0.62*30+1.17*(Data!$M$23+$M$26*Data!$M$29+30)))^3</f>
        <v>23623632974.788013</v>
      </c>
      <c r="Y12" s="5">
        <f>1000000/60/M12*(K12/$R$25/(Data!$M$23+$M$26*Data!$M$29+30))^3</f>
        <v>327448632883.1601</v>
      </c>
      <c r="Z12" s="5">
        <f t="shared" si="6"/>
        <v>23623632974.788013</v>
      </c>
      <c r="AA12" s="5">
        <f>0.8*1.56*1.2*10^8*18.25/(50+Data!$M$25)^2</f>
        <v>1050795.8477508652</v>
      </c>
      <c r="AB12" s="2">
        <f t="shared" si="7"/>
        <v>0</v>
      </c>
      <c r="AC12" s="5">
        <f>SQRT((PI())^2*2.1*10^6*0.55/(Data!$M$23+Data!$M$23/10*Data!$M$29)*0.8*2*10)/100*0.8*1000-50</f>
        <v>102963.58479371195</v>
      </c>
      <c r="AD12" s="5">
        <f>(SQRT(PI()^2*2.1*1000000*1.4/4/(Data!$M$23/10+1))/100*0.8)*1000-50</f>
        <v>20494.103135964109</v>
      </c>
      <c r="AE12" s="2">
        <f>IF(AND(AC12&gt;Data!$M$25,Data!AD12&gt;Data!$M$25),0,1)</f>
        <v>0</v>
      </c>
      <c r="AF12" s="2">
        <f t="shared" si="8"/>
        <v>0</v>
      </c>
      <c r="AG12" s="2">
        <v>6</v>
      </c>
      <c r="AH12" s="7">
        <f>Z12*60*$M$28/2/$M$25/Input!$C$22/Input!$C$23/Input!$C$24</f>
        <v>708708989243.64038</v>
      </c>
      <c r="AI12" s="52">
        <f>($M$25+100)/1000*2.47/2*1^2</f>
        <v>0.12473500000000001</v>
      </c>
      <c r="AJ12" s="52">
        <f>$M$26*($M$28/1000*60/2/3.14/Data!M12)^2*10^4</f>
        <v>0</v>
      </c>
      <c r="AK12" s="47">
        <f t="shared" si="1"/>
        <v>0.22496604087627634</v>
      </c>
      <c r="AL12" s="162">
        <f ca="1">V12/$L$116/$E$59/Data!$L$115+$L$117+$F$59+($H$149+$L$118+(Data!AJ12+Data!AI12)/Data!$L$115^2)*3.14/Data!$L$115*Data!M12/Data!$C$43/10000/30</f>
        <v>0.24284739887627635</v>
      </c>
      <c r="AM12" s="4">
        <f ca="1">($H$149+$L$118+(Data!AJ12+Data!AI12)/Data!$L$115^2)/$H$149</f>
        <v>1.7795937500000001</v>
      </c>
      <c r="AN12" s="4">
        <f t="shared" si="2"/>
        <v>0.12473500000000001</v>
      </c>
      <c r="AO12" s="4"/>
      <c r="AP12" s="46">
        <v>0.8</v>
      </c>
    </row>
    <row r="13" spans="1:44">
      <c r="A13" s="56">
        <f t="shared" si="3"/>
        <v>0</v>
      </c>
      <c r="B13" s="2" t="s">
        <v>25</v>
      </c>
      <c r="C13" s="2">
        <v>20</v>
      </c>
      <c r="D13" s="2">
        <v>1200</v>
      </c>
      <c r="E13" s="2">
        <v>5000</v>
      </c>
      <c r="F13" s="2">
        <v>6000</v>
      </c>
      <c r="G13" s="2">
        <v>50</v>
      </c>
      <c r="H13" s="2">
        <v>25</v>
      </c>
      <c r="I13" s="2">
        <v>24</v>
      </c>
      <c r="J13" s="2">
        <v>5.8</v>
      </c>
      <c r="K13" s="2">
        <v>13600</v>
      </c>
      <c r="L13" s="2">
        <v>11200</v>
      </c>
      <c r="M13" s="2">
        <f>Data!$M$28/Data!C13*60</f>
        <v>3</v>
      </c>
      <c r="N13" s="56">
        <f t="shared" si="4"/>
        <v>0</v>
      </c>
      <c r="O13" s="6">
        <f>IF(Data!$M$29&gt;20,1,0)</f>
        <v>0</v>
      </c>
      <c r="P13" s="56">
        <f>IF(Data!$M$23&lt;=Data!F13,0,1)</f>
        <v>0</v>
      </c>
      <c r="Q13" s="56">
        <f>IF(Data!$M$24&lt;=Data!G13,0,1)</f>
        <v>0</v>
      </c>
      <c r="R13" s="56">
        <f>IF(Data!$M$25&lt;=Data!D13,0,1)</f>
        <v>0</v>
      </c>
      <c r="S13" s="2">
        <v>0.3</v>
      </c>
      <c r="T13" s="3">
        <f>M13/E13*S13*2+S13</f>
        <v>0.30036000000000002</v>
      </c>
      <c r="U13" s="4">
        <f>Data!$M$23*Data!C13/2000/PI()/0.8+Data!T13</f>
        <v>0.30433887357729739</v>
      </c>
      <c r="V13" s="4">
        <f>(Data!$M$23+$M$26*Data!$M$29)*Data!C13/2000/PI()/0.8+T13</f>
        <v>0.30433887357729739</v>
      </c>
      <c r="W13" s="2">
        <f t="shared" si="5"/>
        <v>0</v>
      </c>
      <c r="X13" s="5">
        <f>1000000/60/M13*(L13/$R$25/(0.62*30+1.17*(Data!$M$23+$M$26*Data!$M$29+30)))^3</f>
        <v>47247265949.576027</v>
      </c>
      <c r="Y13" s="5">
        <f>1000000/60/M13*(K13/$R$25/(Data!$M$23+$M$26*Data!$M$29+30))^3</f>
        <v>469093201153.21924</v>
      </c>
      <c r="Z13" s="5">
        <f t="shared" si="6"/>
        <v>47247265949.576027</v>
      </c>
      <c r="AA13" s="5">
        <f>0.8*1.56*1.2*10^8*18.25/(50+Data!$M$25)^2</f>
        <v>1050795.8477508652</v>
      </c>
      <c r="AB13" s="2">
        <f t="shared" si="7"/>
        <v>0</v>
      </c>
      <c r="AC13" s="5">
        <f>SQRT((PI())^2*2.1*10^6*0.55/(Data!$M$23+Data!$M$23/10*Data!$M$29)*0.8*2*10)/100*0.8*1000-50</f>
        <v>102963.58479371195</v>
      </c>
      <c r="AD13" s="5">
        <f>(SQRT(PI()^2*2.1*1000000*1.4/4/(Data!$M$23/10+1))/100*0.8)*1000-50</f>
        <v>20494.103135964109</v>
      </c>
      <c r="AE13" s="2">
        <f>IF(AND(AC13&gt;Data!$M$25,Data!AD13&gt;Data!$M$25),0,1)</f>
        <v>0</v>
      </c>
      <c r="AF13" s="2">
        <f t="shared" si="8"/>
        <v>0</v>
      </c>
      <c r="AG13" s="2">
        <v>7</v>
      </c>
      <c r="AH13" s="7">
        <f>Z13*60*$M$28/2/$M$25/Input!$C$22/Input!$C$23/Input!$C$24</f>
        <v>1417417978487.2808</v>
      </c>
      <c r="AI13" s="52">
        <f>($M$25+100)/1000*2.47/2*1^2</f>
        <v>0.12473500000000001</v>
      </c>
      <c r="AJ13" s="52">
        <f>$M$26*($M$28/1000*60/2/3.14/Data!M13)^2*10^4</f>
        <v>0</v>
      </c>
      <c r="AK13" s="47">
        <f t="shared" si="1"/>
        <v>0.33815430397477486</v>
      </c>
      <c r="AL13" s="162">
        <f ca="1">V13/$L$116/$E$59/Data!$L$115+$L$117+$F$59+($H$149+$L$118+(Data!AJ13+Data!AI13)/Data!$L$115^2)*3.14/Data!$L$115*Data!M13/Data!$C$43/10000/30</f>
        <v>0.34709498297477487</v>
      </c>
      <c r="AM13" s="4">
        <f ca="1">($H$149+$L$118+(Data!AJ13+Data!AI13)/Data!$L$115^2)/$H$149</f>
        <v>1.7795937500000001</v>
      </c>
      <c r="AN13" s="4">
        <f t="shared" si="2"/>
        <v>0.12473500000000001</v>
      </c>
      <c r="AO13" s="4"/>
      <c r="AP13" s="46">
        <v>0.8</v>
      </c>
    </row>
    <row r="14" spans="1:44">
      <c r="B14" s="2"/>
      <c r="C14" s="2"/>
      <c r="D14" s="2"/>
      <c r="E14" s="2"/>
      <c r="F14" s="2"/>
      <c r="G14" s="2"/>
      <c r="H14" s="2"/>
      <c r="I14" s="2"/>
      <c r="J14" s="2"/>
      <c r="K14" s="2"/>
      <c r="L14" s="2"/>
      <c r="M14" s="2"/>
      <c r="N14" s="2"/>
      <c r="O14" s="2"/>
      <c r="P14" s="2"/>
      <c r="Q14" s="2"/>
      <c r="R14" s="2"/>
      <c r="S14" s="2"/>
      <c r="T14" s="2"/>
      <c r="U14" s="2"/>
      <c r="AL14" s="162"/>
      <c r="AM14" s="162"/>
      <c r="AN14" s="162"/>
      <c r="AO14" s="775"/>
    </row>
    <row r="15" spans="1:44">
      <c r="B15" s="2"/>
      <c r="C15" s="2"/>
      <c r="D15" t="str">
        <f>"Distance"&amp; " "&amp;"["&amp;D16&amp;"]"</f>
        <v>Distance [mm]</v>
      </c>
      <c r="E15" s="2"/>
      <c r="F15" s="2"/>
      <c r="G15" s="2" t="str">
        <f>"Speed"&amp;" " &amp;"["&amp;G16&amp;"]"</f>
        <v>Speed [mm/s]</v>
      </c>
      <c r="H15" s="2"/>
      <c r="I15" s="2"/>
      <c r="J15" s="2"/>
      <c r="K15" s="2"/>
      <c r="L15" s="2"/>
      <c r="M15" s="2"/>
      <c r="N15" s="2"/>
      <c r="O15" s="2"/>
      <c r="P15" s="2"/>
      <c r="Q15" s="2"/>
      <c r="R15" s="2"/>
      <c r="S15" s="2"/>
      <c r="T15" s="2"/>
      <c r="U15" s="2"/>
      <c r="X15" s="934"/>
      <c r="Y15" s="932"/>
    </row>
    <row r="16" spans="1:44" ht="21">
      <c r="A16" s="2" t="str">
        <f>Input!C13</f>
        <v xml:space="preserve">Metric </v>
      </c>
      <c r="B16" s="8">
        <f>IF(A16="Metric ",1,2)</f>
        <v>1</v>
      </c>
      <c r="C16" t="str">
        <f>VLOOKUP(B16,B17:C18,2)</f>
        <v xml:space="preserve">Metric </v>
      </c>
      <c r="D16" s="8" t="str">
        <f>VLOOKUP(B16,B17:D18,3)</f>
        <v>mm</v>
      </c>
      <c r="E16" s="8" t="str">
        <f>VLOOKUP(B16,B17:E18,4)</f>
        <v>N</v>
      </c>
      <c r="F16" s="2"/>
      <c r="G16" s="8" t="str">
        <f>VLOOKUP(B16,B17:G18,6)</f>
        <v>mm/s</v>
      </c>
      <c r="H16" s="8" t="str">
        <f>VLOOKUP(B16,B17:H18,7)</f>
        <v>m/s²</v>
      </c>
      <c r="I16" s="2"/>
      <c r="J16" s="2"/>
      <c r="K16" s="53" t="str">
        <f>VLOOKUP(B16,B17:K18,10)</f>
        <v>m/s</v>
      </c>
      <c r="L16" s="2"/>
      <c r="M16" s="2">
        <f>IF(B16=1,1,2.20462)</f>
        <v>1</v>
      </c>
      <c r="N16" s="8" t="str">
        <f>VLOOKUP(B16,B17:N18,13)</f>
        <v>kg</v>
      </c>
      <c r="O16" s="2"/>
      <c r="P16" s="939" t="s">
        <v>1912</v>
      </c>
      <c r="Q16" s="938"/>
      <c r="R16" s="938"/>
      <c r="S16" s="938"/>
      <c r="T16" s="34"/>
      <c r="U16" s="34"/>
      <c r="V16" s="34"/>
      <c r="W16" s="34"/>
      <c r="X16" s="934"/>
      <c r="Y16" s="34"/>
      <c r="Z16" s="279"/>
      <c r="AA16" s="279"/>
      <c r="AB16" s="279"/>
      <c r="AC16" s="279"/>
      <c r="AN16" s="300" t="s">
        <v>462</v>
      </c>
    </row>
    <row r="17" spans="1:46" ht="21">
      <c r="A17" s="2"/>
      <c r="B17" s="2">
        <v>1</v>
      </c>
      <c r="C17" s="2" t="s">
        <v>412</v>
      </c>
      <c r="D17" s="2" t="s">
        <v>5</v>
      </c>
      <c r="E17" s="2" t="s">
        <v>6</v>
      </c>
      <c r="F17" s="2">
        <f>IF(B16=1,1,25.4)</f>
        <v>1</v>
      </c>
      <c r="G17" s="2" t="s">
        <v>12</v>
      </c>
      <c r="H17" s="2" t="s">
        <v>15</v>
      </c>
      <c r="I17" s="1010">
        <f>IF($B$16=1,1,25.4)</f>
        <v>1</v>
      </c>
      <c r="J17" s="1010"/>
      <c r="K17" s="19" t="s">
        <v>62</v>
      </c>
      <c r="L17" s="2"/>
      <c r="N17" t="s">
        <v>105</v>
      </c>
      <c r="O17" s="2"/>
      <c r="P17" s="939" t="s">
        <v>1913</v>
      </c>
      <c r="Q17" s="939"/>
      <c r="R17" s="939"/>
      <c r="S17" s="939"/>
      <c r="T17" s="34"/>
      <c r="U17" s="34"/>
      <c r="V17" s="34"/>
      <c r="W17" s="34"/>
      <c r="X17" s="34"/>
      <c r="Y17" s="34"/>
      <c r="Z17" s="34"/>
      <c r="AA17" s="34"/>
      <c r="AB17" s="34"/>
      <c r="AC17" s="34"/>
      <c r="AK17" s="996" t="s">
        <v>332</v>
      </c>
      <c r="AL17" s="997"/>
      <c r="AM17" s="997"/>
      <c r="AN17" s="998"/>
      <c r="AO17" s="279"/>
    </row>
    <row r="18" spans="1:46" ht="21">
      <c r="B18" s="2">
        <v>2</v>
      </c>
      <c r="C18" s="2" t="s">
        <v>413</v>
      </c>
      <c r="D18" s="2" t="s">
        <v>42</v>
      </c>
      <c r="E18" s="2" t="s">
        <v>43</v>
      </c>
      <c r="F18" s="2">
        <f>IF(B16=1,1,4.44822)</f>
        <v>1</v>
      </c>
      <c r="G18" s="2" t="s">
        <v>44</v>
      </c>
      <c r="H18" s="2" t="s">
        <v>45</v>
      </c>
      <c r="I18" s="1010">
        <f>IF($B$16=1,1,0.0254)</f>
        <v>1</v>
      </c>
      <c r="J18" s="1010"/>
      <c r="K18" s="19" t="s">
        <v>71</v>
      </c>
      <c r="L18" s="2"/>
      <c r="N18" t="s">
        <v>126</v>
      </c>
      <c r="P18" s="939" t="s">
        <v>2045</v>
      </c>
      <c r="Q18" s="939"/>
      <c r="R18" s="939"/>
      <c r="S18" s="939"/>
      <c r="T18" s="34"/>
      <c r="U18" s="34"/>
      <c r="V18" s="34"/>
      <c r="W18" s="34"/>
      <c r="X18" s="34"/>
      <c r="Y18" s="34"/>
      <c r="Z18" s="34"/>
      <c r="AA18" s="34"/>
      <c r="AB18" s="34"/>
      <c r="AC18" s="34"/>
      <c r="AE18" s="79"/>
      <c r="AF18" s="73" t="s">
        <v>319</v>
      </c>
      <c r="AG18" s="73"/>
      <c r="AH18" s="73"/>
      <c r="AI18" s="73"/>
      <c r="AJ18" s="73"/>
      <c r="AK18" s="365" t="s">
        <v>475</v>
      </c>
      <c r="AL18" s="365" t="s">
        <v>109</v>
      </c>
      <c r="AM18" s="365" t="s">
        <v>125</v>
      </c>
      <c r="AN18" s="364" t="s">
        <v>476</v>
      </c>
      <c r="AO18" s="143"/>
    </row>
    <row r="19" spans="1:46" ht="21">
      <c r="B19" s="2"/>
      <c r="C19" s="2"/>
      <c r="E19" s="2"/>
      <c r="P19" s="940" t="s">
        <v>2043</v>
      </c>
      <c r="X19" s="934"/>
      <c r="AA19" s="34"/>
      <c r="AB19" s="34"/>
      <c r="AC19" s="34"/>
      <c r="AE19" s="67" t="s">
        <v>324</v>
      </c>
      <c r="AF19" s="34" t="s">
        <v>320</v>
      </c>
      <c r="AG19" s="34"/>
      <c r="AH19" s="34"/>
      <c r="AI19" s="34"/>
      <c r="AJ19" s="34"/>
      <c r="AK19" s="34"/>
      <c r="AL19" s="34"/>
      <c r="AM19" s="57"/>
      <c r="AN19" s="302"/>
      <c r="AO19" s="282"/>
      <c r="AQ19" s="996" t="s">
        <v>397</v>
      </c>
      <c r="AR19" s="997"/>
      <c r="AS19" s="997"/>
      <c r="AT19" s="998"/>
    </row>
    <row r="20" spans="1:46" ht="21">
      <c r="P20" s="940" t="s">
        <v>2044</v>
      </c>
      <c r="AA20" s="34"/>
      <c r="AB20" s="34"/>
      <c r="AC20" s="34"/>
      <c r="AE20" s="67"/>
      <c r="AF20" s="34"/>
      <c r="AG20" s="34"/>
      <c r="AH20" s="34"/>
      <c r="AI20" s="34"/>
      <c r="AJ20" s="34"/>
      <c r="AK20" s="34"/>
      <c r="AL20" s="34"/>
      <c r="AM20" s="57"/>
      <c r="AN20" s="302"/>
      <c r="AO20" s="282"/>
      <c r="AQ20" s="258"/>
      <c r="AS20" s="258"/>
      <c r="AT20" s="258"/>
    </row>
    <row r="21" spans="1:46" ht="15.75" thickBot="1">
      <c r="G21" s="2"/>
      <c r="H21" s="2"/>
      <c r="I21" s="2"/>
      <c r="J21" s="2"/>
      <c r="K21" s="2"/>
      <c r="L21" s="2"/>
      <c r="M21" s="2"/>
      <c r="N21" s="2"/>
      <c r="O21" s="2"/>
      <c r="P21" s="2"/>
      <c r="Q21" s="2"/>
      <c r="AA21" s="34"/>
      <c r="AB21" s="34"/>
      <c r="AC21" s="34"/>
      <c r="AE21" s="67"/>
      <c r="AF21" s="34"/>
      <c r="AG21" s="34"/>
      <c r="AH21" s="34"/>
      <c r="AI21" s="34"/>
      <c r="AJ21" s="34"/>
      <c r="AK21" s="362">
        <f t="shared" ref="AK21:AK27" si="9">IF($E$83=1,$L$117+$F$59+U7/$L$116/$E$59/$L$115,$E$90+$F$59+U7/$G$90/$E$59/$D$90)</f>
        <v>5.6496478929549565E-2</v>
      </c>
      <c r="AL21" s="363">
        <f ca="1">IF($E$83=2,V7/$G$90/$E$59/$D$90+$E$90+$F$59+($H$149+$F$90+(AJ7+AI7)/$D$90^2)*3.14/$D$90*M7/$C$43/10000/30,V7/$L$116/$E$59/Data!$L$115+$L$117+$F$59+($H$149+$L$118+(Data!AJ7+Data!AI7)/Data!$L$115^2)*3.14/Data!$L$115*Data!M7/Data!$C$43/10000/30)</f>
        <v>9.1628368929549564E-2</v>
      </c>
      <c r="AM21" s="176">
        <f ca="1">IF($E$83=2,(IF(OR($C$59=1,$C$59=3),($H$149+$F$90+(AJ7+AI7)/$D$90^2)/$H$149,($H$149+$F$90+(AJ7+AI7+AP7)/$D$90^2)/$H$149)),IF(OR($C$59=1,$C$59=3),($H$149+$L$118+(Data!AJ7+Data!AI7)/Data!$L$115^2)/$H$149,($H$149+$L$118+(Data!AJ7+Data!AI7+AP7)/Data!$L$115^2)/$H$149))</f>
        <v>1.048921875</v>
      </c>
      <c r="AN21" s="263">
        <f t="shared" ref="AN21:AN27" si="10">IF($E$83=2,(IF(OR($C$59=1,$C$59=3),(AI7+AJ7)/$D$90^2+$F$90,(AI7+AJ7+AP7)/$D$90^2+$F$90)),IF(OR($C$59=1,$C$59=3),(AI7+AJ7)/$L$115^2+$L$118,(AI7+AJ7+AP7)/$L$115^2+$L$118))</f>
        <v>7.8275000000000011E-3</v>
      </c>
      <c r="AO21" s="784"/>
      <c r="AQ21" s="258" t="s">
        <v>379</v>
      </c>
      <c r="AS21" s="176">
        <f>IF(AND($E$83=3, $C$59&lt;&gt;2),AI7+AJ7,"NA")</f>
        <v>7.8275000000000011E-3</v>
      </c>
      <c r="AT21" s="258" t="s">
        <v>371</v>
      </c>
    </row>
    <row r="22" spans="1:46" ht="15.75" thickBot="1">
      <c r="A22" s="305"/>
      <c r="B22" s="306"/>
      <c r="C22" s="306"/>
      <c r="D22" s="306"/>
      <c r="E22" s="306"/>
      <c r="F22" s="306"/>
      <c r="G22" s="306"/>
      <c r="H22" s="306"/>
      <c r="I22" s="306"/>
      <c r="J22" s="306"/>
      <c r="K22" s="307"/>
      <c r="L22" s="307"/>
      <c r="M22" s="307"/>
      <c r="N22" s="307"/>
      <c r="O22" s="308"/>
      <c r="P22" s="315"/>
      <c r="Q22" s="306"/>
      <c r="R22" s="306"/>
      <c r="S22" s="306"/>
      <c r="T22" s="306"/>
      <c r="U22" s="306"/>
      <c r="V22" s="306"/>
      <c r="W22" s="316"/>
      <c r="AA22" s="34"/>
      <c r="AB22" s="34"/>
      <c r="AC22" s="34"/>
      <c r="AE22" s="67" t="s">
        <v>325</v>
      </c>
      <c r="AF22" s="34" t="s">
        <v>321</v>
      </c>
      <c r="AG22" s="34"/>
      <c r="AH22" s="34"/>
      <c r="AI22" s="34"/>
      <c r="AJ22" s="34"/>
      <c r="AK22" s="362">
        <f t="shared" si="9"/>
        <v>0.16912715198738743</v>
      </c>
      <c r="AL22" s="363">
        <f ca="1">IF($E$83=2,V8/$G$90/$E$59/$D$90+$E$90+$F$59+($H$149+$F$90+(AJ8+AI8)/$D$90^2)*3.14/$D$90*M8/$C$43/10000/30,V8/$L$116/$E$59/Data!$L$115+$L$117+$F$59+($H$149+$L$118+(Data!AJ8+Data!AI8)/Data!$L$115^2)*3.14/Data!$L$115*Data!M8/Data!$C$43/10000/30)</f>
        <v>0.17966671898738742</v>
      </c>
      <c r="AM22" s="176">
        <f ca="1">IF($E$83=2,(IF(OR($C$59=1,$C$59=3),($H$149+$F$90+(AJ8+AI8)/$D$90^2)/$H$149,($H$149+$F$90+(AJ8+AI8+AP8)/$D$90^2)/$H$149)),IF(OR($C$59=1,$C$59=3),($H$149+$L$118+(Data!AJ8+Data!AI8)/Data!$L$115^2)/$H$149,($H$149+$L$118+(Data!AJ8+Data!AI8+AP8)/Data!$L$115^2)/$H$149))</f>
        <v>1.048921875</v>
      </c>
      <c r="AN22" s="263">
        <f t="shared" si="10"/>
        <v>7.8275000000000011E-3</v>
      </c>
      <c r="AO22" s="784"/>
      <c r="AQ22" s="258" t="s">
        <v>380</v>
      </c>
      <c r="AS22" s="176" t="str">
        <f>IF(AND($C$59=2,$E$83=3),AI7+AJ7+AP7,"NA")</f>
        <v>NA</v>
      </c>
      <c r="AT22" s="258" t="s">
        <v>156</v>
      </c>
    </row>
    <row r="23" spans="1:46" ht="26.25">
      <c r="A23" s="995" t="s">
        <v>463</v>
      </c>
      <c r="B23" s="995"/>
      <c r="C23" s="350"/>
      <c r="D23" s="898" t="s">
        <v>1947</v>
      </c>
      <c r="J23" s="34"/>
      <c r="K23" s="279" t="s">
        <v>27</v>
      </c>
      <c r="L23" s="15">
        <f>Input!C14</f>
        <v>1</v>
      </c>
      <c r="M23" s="9">
        <f>L23*F18</f>
        <v>1</v>
      </c>
      <c r="N23" s="279" t="s">
        <v>127</v>
      </c>
      <c r="O23" s="310"/>
      <c r="P23" s="994"/>
      <c r="Q23" s="995"/>
      <c r="R23" s="87" t="s">
        <v>1924</v>
      </c>
      <c r="S23" s="34"/>
      <c r="T23" s="34"/>
      <c r="U23" s="34"/>
      <c r="V23" s="34"/>
      <c r="W23" s="310"/>
      <c r="AA23" s="34"/>
      <c r="AB23" s="34"/>
      <c r="AC23" s="34"/>
      <c r="AE23" s="67"/>
      <c r="AF23" s="34" t="s">
        <v>322</v>
      </c>
      <c r="AG23" s="34"/>
      <c r="AH23" s="34"/>
      <c r="AI23" s="34"/>
      <c r="AJ23" s="34"/>
      <c r="AK23" s="362">
        <f t="shared" si="9"/>
        <v>7.9050860794954991E-2</v>
      </c>
      <c r="AL23" s="363">
        <f ca="1">IF($E$83=2,V9/$G$90/$E$59/$D$90+$E$90+$F$59+($H$149+$F$90+(AJ9+AI9)/$D$90^2)*3.14/$D$90*M9/$C$43/10000/30,V9/$L$116/$E$59/Data!$L$115+$L$117+$F$59+($H$149+$L$118+(Data!AJ9+Data!AI9)/Data!$L$115^2)*3.14/Data!$L$115*Data!M9/Data!$C$43/10000/30)</f>
        <v>0.106711152194955</v>
      </c>
      <c r="AM23" s="176">
        <f ca="1">IF($E$83=2,(IF(OR($C$59=1,$C$59=3),($H$149+$F$90+(AJ9+AI9)/$D$90^2)/$H$149,($H$149+$F$90+(AJ9+AI9+AP9)/$D$90^2)/$H$149)),IF(OR($C$59=1,$C$59=3),($H$149+$L$118+(Data!AJ9+Data!AI9)/Data!$L$115^2)/$H$149,($H$149+$L$118+(Data!AJ9+Data!AI9+AP9)/Data!$L$115^2)/$H$149))</f>
        <v>1.1011262500000001</v>
      </c>
      <c r="AN23" s="263">
        <f t="shared" si="10"/>
        <v>1.6180200000000002E-2</v>
      </c>
      <c r="AO23" s="784"/>
      <c r="AQ23" s="258" t="s">
        <v>381</v>
      </c>
      <c r="AS23" s="176" t="str">
        <f>IF(AND($E$83=2,$C$59=1),AI7+AJ7+$F$90,"NA")</f>
        <v>NA</v>
      </c>
      <c r="AT23" s="258" t="s">
        <v>385</v>
      </c>
    </row>
    <row r="24" spans="1:46">
      <c r="A24" s="34" t="s">
        <v>1898</v>
      </c>
      <c r="B24" s="34"/>
      <c r="C24" s="34"/>
      <c r="D24" s="34" t="s">
        <v>1943</v>
      </c>
      <c r="F24" s="34"/>
      <c r="G24" s="34" t="s">
        <v>1944</v>
      </c>
      <c r="J24" s="34"/>
      <c r="K24" s="279" t="s">
        <v>28</v>
      </c>
      <c r="L24" s="11">
        <f>Input!C17</f>
        <v>0</v>
      </c>
      <c r="M24" s="10">
        <f>L24*F18</f>
        <v>0</v>
      </c>
      <c r="N24" s="279" t="s">
        <v>128</v>
      </c>
      <c r="O24" s="310"/>
      <c r="P24" s="309"/>
      <c r="Q24" s="34"/>
      <c r="R24" s="34"/>
      <c r="S24" s="34"/>
      <c r="T24" s="34"/>
      <c r="U24" s="34"/>
      <c r="V24" s="34"/>
      <c r="W24" s="310"/>
      <c r="AA24" s="34"/>
      <c r="AB24" s="34"/>
      <c r="AC24" s="34"/>
      <c r="AE24" s="67"/>
      <c r="AF24" s="34"/>
      <c r="AG24" s="34"/>
      <c r="AH24" s="34"/>
      <c r="AI24" s="34"/>
      <c r="AJ24" s="34"/>
      <c r="AK24" s="362">
        <f t="shared" si="9"/>
        <v>0.20261048532072073</v>
      </c>
      <c r="AL24" s="363">
        <f ca="1">IF($E$83=2,V10/$G$90/$E$59/$D$90+$E$90+$F$59+($H$149+$F$90+(AJ10+AI10)/$D$90^2)*3.14/$D$90*M10/$C$43/10000/30,V10/$L$116/$E$59/Data!$L$115+$L$117+$F$59+($H$149+$L$118+(Data!AJ10+Data!AI10)/Data!$L$115^2)*3.14/Data!$L$115*Data!M10/Data!$C$43/10000/30)</f>
        <v>0.21367460188072074</v>
      </c>
      <c r="AM24" s="176">
        <f ca="1">IF($E$83=2,(IF(OR($C$59=1,$C$59=3),($H$149+$F$90+(AJ10+AI10)/$D$90^2)/$H$149,($H$149+$F$90+(AJ10+AI10+AP10)/$D$90^2)/$H$149)),IF(OR($C$59=1,$C$59=3),($H$149+$L$118+(Data!AJ10+Data!AI10)/Data!$L$115^2)/$H$149,($H$149+$L$118+(Data!AJ10+Data!AI10+AP10)/Data!$L$115^2)/$H$149))</f>
        <v>1.1011262500000001</v>
      </c>
      <c r="AN24" s="263">
        <f t="shared" si="10"/>
        <v>1.6180200000000002E-2</v>
      </c>
      <c r="AO24" s="784"/>
      <c r="AQ24" s="258" t="s">
        <v>382</v>
      </c>
      <c r="AS24" s="176" t="str">
        <f>IF(AND($E$83=2, $C$59=2),AI7+AJ7+$F$90+AP7,"NA")</f>
        <v>NA</v>
      </c>
      <c r="AT24" s="258" t="s">
        <v>386</v>
      </c>
    </row>
    <row r="25" spans="1:46" ht="18">
      <c r="A25" s="34">
        <v>1</v>
      </c>
      <c r="B25" s="34"/>
      <c r="C25" s="34"/>
      <c r="D25" s="34" t="s">
        <v>27</v>
      </c>
      <c r="E25" s="34">
        <f>IF(AND(B16=1,M23&gt;6000),1,IF(AND(B16=2,M23&gt;6000),1,0))</f>
        <v>0</v>
      </c>
      <c r="F25" s="34"/>
      <c r="G25" s="34">
        <f>IF(B16=1,6000,1348)</f>
        <v>6000</v>
      </c>
      <c r="J25" s="34"/>
      <c r="K25" s="279" t="s">
        <v>10</v>
      </c>
      <c r="L25" s="11">
        <f>Input!C18</f>
        <v>1</v>
      </c>
      <c r="M25" s="10">
        <f>L25*F17</f>
        <v>1</v>
      </c>
      <c r="N25" s="279" t="s">
        <v>129</v>
      </c>
      <c r="O25" s="310"/>
      <c r="P25" s="309"/>
      <c r="Q25" s="279" t="s">
        <v>26</v>
      </c>
      <c r="R25" s="303">
        <f>Input!C21</f>
        <v>1</v>
      </c>
      <c r="S25" s="111" t="e">
        <f>VLOOKUP(Input!C21,Data!Q26:S29,3)</f>
        <v>#N/A</v>
      </c>
      <c r="T25" s="34"/>
      <c r="U25" s="34"/>
      <c r="V25" s="279"/>
      <c r="W25" s="310"/>
      <c r="Y25" s="34"/>
      <c r="Z25" s="34"/>
      <c r="AA25" s="34"/>
      <c r="AB25" s="34"/>
      <c r="AC25" s="34"/>
      <c r="AE25" s="67" t="s">
        <v>326</v>
      </c>
      <c r="AF25" s="34" t="s">
        <v>323</v>
      </c>
      <c r="AG25" s="34"/>
      <c r="AH25" s="34"/>
      <c r="AI25" s="34"/>
      <c r="AJ25" s="34"/>
      <c r="AK25" s="362">
        <f t="shared" si="9"/>
        <v>0.11274968710480482</v>
      </c>
      <c r="AL25" s="363">
        <f ca="1">IF($E$83=2,V11/$G$90/$E$59/$D$90+$E$90+$F$59+($H$149+$F$90+(AJ11+AI11)/$D$90^2)*3.14/$D$90*M11/$C$43/10000/30,V11/$L$116/$E$59/Data!$L$115+$L$117+$F$59+($H$149+$L$118+(Data!AJ11+Data!AI11)/Data!$L$115^2)*3.14/Data!$L$115*Data!M11/Data!$C$43/10000/30)</f>
        <v>0.14851240310480482</v>
      </c>
      <c r="AM25" s="176">
        <f ca="1">IF($E$83=2,(IF(OR($C$59=1,$C$59=3),($H$149+$F$90+(AJ11+AI11)/$D$90^2)/$H$149,($H$149+$F$90+(AJ11+AI11+AP11)/$D$90^2)/$H$149)),IF(OR($C$59=1,$C$59=3),($H$149+$L$118+(Data!AJ11+Data!AI11)/Data!$L$115^2)/$H$149,($H$149+$L$118+(Data!AJ11+Data!AI11+AP11)/Data!$L$115^2)/$H$149))</f>
        <v>1.7795937500000001</v>
      </c>
      <c r="AN25" s="263">
        <f t="shared" si="10"/>
        <v>0.12473500000000001</v>
      </c>
      <c r="AO25" s="784"/>
      <c r="AQ25" s="258" t="s">
        <v>383</v>
      </c>
      <c r="AS25" s="176" t="str">
        <f>IF(AND($C$59=2,$E$83=1),AI7+AJ7+$L$118+AP7,"NA")</f>
        <v>NA</v>
      </c>
      <c r="AT25" s="258" t="s">
        <v>387</v>
      </c>
    </row>
    <row r="26" spans="1:46">
      <c r="A26" s="34">
        <v>0.8</v>
      </c>
      <c r="B26" s="34"/>
      <c r="C26" s="34"/>
      <c r="D26" s="34" t="s">
        <v>1945</v>
      </c>
      <c r="E26" s="34">
        <f>IF(AND(B16=1,M24&gt;50),1,IF(AND(B16=2,M24&gt;50),1,0))</f>
        <v>0</v>
      </c>
      <c r="F26" s="34"/>
      <c r="G26" s="34">
        <f>IF(B16=1,50,11)</f>
        <v>50</v>
      </c>
      <c r="H26" s="34"/>
      <c r="I26" s="34"/>
      <c r="J26" s="34"/>
      <c r="K26" s="279" t="s">
        <v>104</v>
      </c>
      <c r="L26" s="11">
        <f>Input!C16</f>
        <v>0</v>
      </c>
      <c r="M26" s="11">
        <f>L26/M16</f>
        <v>0</v>
      </c>
      <c r="N26" s="279" t="s">
        <v>130</v>
      </c>
      <c r="O26" s="311"/>
      <c r="P26" s="317"/>
      <c r="Q26" s="279" t="s">
        <v>1888</v>
      </c>
      <c r="R26" s="279">
        <v>1</v>
      </c>
      <c r="S26" s="111" t="s">
        <v>53</v>
      </c>
      <c r="T26" s="34"/>
      <c r="U26" s="34"/>
      <c r="V26" s="279"/>
      <c r="W26" s="310"/>
      <c r="Y26" s="34"/>
      <c r="Z26" s="34"/>
      <c r="AA26" s="34"/>
      <c r="AB26" s="34"/>
      <c r="AC26" s="34"/>
      <c r="AE26" s="67"/>
      <c r="AF26" s="34" t="s">
        <v>330</v>
      </c>
      <c r="AG26" s="34"/>
      <c r="AH26" s="34"/>
      <c r="AI26" s="34"/>
      <c r="AJ26" s="34"/>
      <c r="AK26" s="362">
        <f t="shared" si="9"/>
        <v>0.22496604087627634</v>
      </c>
      <c r="AL26" s="363">
        <f ca="1">IF($E$83=2,V12/$G$90/$E$59/$D$90+$E$90+$F$59+($H$149+$F$90+(AJ12+AI12)/$D$90^2)*3.14/$D$90*M12/$C$43/10000/30,V12/$L$116/$E$59/Data!$L$115+$L$117+$F$59+($H$149+$L$118+(Data!AJ12+Data!AI12)/Data!$L$115^2)*3.14/Data!$L$115*Data!M12/Data!$C$43/10000/30)</f>
        <v>0.24284739887627635</v>
      </c>
      <c r="AM26" s="176">
        <f ca="1">IF($E$83=2,(IF(OR($C$59=1,$C$59=3),($H$149+$F$90+(AJ12+AI12)/$D$90^2)/$H$149,($H$149+$F$90+(AJ12+AI12+AP12)/$D$90^2)/$H$149)),IF(OR($C$59=1,$C$59=3),($H$149+$L$118+(Data!AJ12+Data!AI12)/Data!$L$115^2)/$H$149,($H$149+$L$118+(Data!AJ12+Data!AI12+AP12)/Data!$L$115^2)/$H$149))</f>
        <v>1.7795937500000001</v>
      </c>
      <c r="AN26" s="263">
        <f t="shared" si="10"/>
        <v>0.12473500000000001</v>
      </c>
      <c r="AO26" s="784"/>
      <c r="AQ26" s="258" t="s">
        <v>384</v>
      </c>
      <c r="AS26" s="176" t="str">
        <f>IF(AND($E$83=1,$C$59=1),AI7+AJ7+$L$118,"NA")</f>
        <v>NA</v>
      </c>
      <c r="AT26" s="258" t="s">
        <v>388</v>
      </c>
    </row>
    <row r="27" spans="1:46">
      <c r="A27" s="34">
        <v>0.7</v>
      </c>
      <c r="B27" s="34"/>
      <c r="C27" s="34"/>
      <c r="D27" s="34" t="s">
        <v>1946</v>
      </c>
      <c r="F27" s="34"/>
      <c r="G27" t="s">
        <v>1</v>
      </c>
      <c r="H27" s="34"/>
      <c r="I27" s="34"/>
      <c r="J27" s="34"/>
      <c r="K27" s="279" t="s">
        <v>46</v>
      </c>
      <c r="L27" s="11">
        <f>M27/I17</f>
        <v>0.99900099900099926</v>
      </c>
      <c r="M27" s="12">
        <f>C49*1000</f>
        <v>0.99900099900099926</v>
      </c>
      <c r="N27" s="279" t="s">
        <v>131</v>
      </c>
      <c r="O27" s="311"/>
      <c r="P27" s="317"/>
      <c r="Q27" s="279" t="s">
        <v>1889</v>
      </c>
      <c r="R27" s="279">
        <v>0.8</v>
      </c>
      <c r="S27" s="111" t="s">
        <v>54</v>
      </c>
      <c r="T27" s="34"/>
      <c r="U27" s="34"/>
      <c r="V27" s="279"/>
      <c r="W27" s="310"/>
      <c r="Y27" s="34"/>
      <c r="Z27" s="34"/>
      <c r="AA27" s="34"/>
      <c r="AB27" s="34"/>
      <c r="AC27" s="34"/>
      <c r="AE27" s="67" t="s">
        <v>327</v>
      </c>
      <c r="AF27" s="34" t="s">
        <v>328</v>
      </c>
      <c r="AG27" s="34"/>
      <c r="AH27" s="34"/>
      <c r="AI27" s="34"/>
      <c r="AJ27" s="34"/>
      <c r="AK27" s="362">
        <f t="shared" si="9"/>
        <v>0.33815430397477486</v>
      </c>
      <c r="AL27" s="363">
        <f ca="1">IF($E$83=2,V13/$G$90/$E$59/$D$90+$E$90+$F$59+($H$149+$F$90+(AJ13+AI13)/$D$90^2)*3.14/$D$90*M13/$C$43/10000/30,V13/$L$116/$E$59/Data!$L$115+$L$117+$F$59+($H$149+$L$118+(Data!AJ13+Data!AI13)/Data!$L$115^2)*3.14/Data!$L$115*Data!M13/Data!$C$43/10000/30)</f>
        <v>0.34709498297477487</v>
      </c>
      <c r="AM27" s="176">
        <f ca="1">IF($E$83=2,(IF(OR($C$59=1,$C$59=3),($H$149+$F$90+(AJ13+AI13)/$D$90^2)/$H$149,($H$149+$F$90+(AJ13+AI13+AP13)/$D$90^2)/$H$149)),IF(OR($C$59=1,$C$59=3),($H$149+$L$118+(Data!AJ13+Data!AI13)/Data!$L$115^2)/$H$149,($H$149+$L$118+(Data!AJ13+Data!AI13+AP13)/Data!$L$115^2)/$H$149))</f>
        <v>1.7795937500000001</v>
      </c>
      <c r="AN27" s="263">
        <f t="shared" si="10"/>
        <v>0.12473500000000001</v>
      </c>
      <c r="AO27" s="784"/>
    </row>
    <row r="28" spans="1:46">
      <c r="A28" s="57">
        <v>0.5</v>
      </c>
      <c r="B28" s="34"/>
      <c r="C28" s="34"/>
      <c r="D28" t="s">
        <v>10</v>
      </c>
      <c r="E28" s="34">
        <f>IF(AND(B16=1,M25&gt;1200),1,IF(AND(B16=2,M25&gt;1200),1,0))</f>
        <v>0</v>
      </c>
      <c r="F28" s="34"/>
      <c r="G28" s="34">
        <f>IF(B16=1,1200,47)</f>
        <v>1200</v>
      </c>
      <c r="H28" s="34"/>
      <c r="I28" s="34"/>
      <c r="J28" s="34"/>
      <c r="K28" s="279" t="s">
        <v>13</v>
      </c>
      <c r="L28" s="11">
        <f>M28/I17</f>
        <v>1</v>
      </c>
      <c r="M28" s="27">
        <f>Input!C19*I17</f>
        <v>1</v>
      </c>
      <c r="N28" s="279" t="s">
        <v>132</v>
      </c>
      <c r="O28" s="311"/>
      <c r="P28" s="317"/>
      <c r="Q28" s="279" t="s">
        <v>1890</v>
      </c>
      <c r="R28" s="279">
        <v>0.5</v>
      </c>
      <c r="S28" s="111" t="s">
        <v>55</v>
      </c>
      <c r="T28" s="34"/>
      <c r="U28" s="34"/>
      <c r="V28" s="279"/>
      <c r="W28" s="310"/>
      <c r="AE28" s="67"/>
      <c r="AF28" s="34" t="s">
        <v>329</v>
      </c>
      <c r="AG28" s="34"/>
      <c r="AH28" s="34"/>
      <c r="AI28" s="34"/>
      <c r="AJ28" s="34"/>
      <c r="AK28" s="34"/>
      <c r="AL28" s="34"/>
      <c r="AM28" s="174"/>
      <c r="AN28" s="68"/>
      <c r="AO28" s="34"/>
    </row>
    <row r="29" spans="1:46">
      <c r="A29" s="309"/>
      <c r="B29" s="34"/>
      <c r="C29" s="34"/>
      <c r="D29" s="34" t="s">
        <v>1948</v>
      </c>
      <c r="F29" s="34"/>
      <c r="G29" s="34" t="s">
        <v>103</v>
      </c>
      <c r="H29" s="34"/>
      <c r="I29" s="34"/>
      <c r="J29" s="34"/>
      <c r="K29" s="279" t="s">
        <v>40</v>
      </c>
      <c r="L29" s="11">
        <f>M29/I18</f>
        <v>1</v>
      </c>
      <c r="M29" s="27">
        <f>Input!C20*I18</f>
        <v>1</v>
      </c>
      <c r="N29" s="279" t="s">
        <v>133</v>
      </c>
      <c r="O29" s="311"/>
      <c r="P29" s="317"/>
      <c r="Q29" s="279" t="s">
        <v>1891</v>
      </c>
      <c r="R29" s="279">
        <v>0.7</v>
      </c>
      <c r="S29" s="111" t="s">
        <v>56</v>
      </c>
      <c r="T29" s="34"/>
      <c r="U29" s="34"/>
      <c r="V29" s="279"/>
      <c r="W29" s="310"/>
      <c r="Y29" s="57"/>
      <c r="Z29" s="57"/>
      <c r="AE29" s="72"/>
      <c r="AF29" s="89"/>
      <c r="AG29" s="89"/>
      <c r="AH29" s="89"/>
      <c r="AI29" s="89"/>
      <c r="AJ29" s="89"/>
      <c r="AK29" s="89"/>
      <c r="AL29" s="89"/>
      <c r="AM29" s="89"/>
      <c r="AN29" s="90"/>
      <c r="AO29" s="34"/>
    </row>
    <row r="30" spans="1:46" ht="15.75" thickBot="1">
      <c r="A30" s="309"/>
      <c r="B30" s="34"/>
      <c r="C30" s="34"/>
      <c r="D30" s="34" t="s">
        <v>57</v>
      </c>
      <c r="E30" s="34">
        <f>IF(AND(B16=1,M28&gt;1666),1,IF(AND(B16=2,M28&gt;1666),1,0))</f>
        <v>0</v>
      </c>
      <c r="F30" s="34"/>
      <c r="G30" s="34">
        <f>IF(B16=1,1666,65)</f>
        <v>1666</v>
      </c>
      <c r="H30" s="34"/>
      <c r="I30" s="34"/>
      <c r="J30" s="34"/>
      <c r="K30" s="34"/>
      <c r="L30" s="13"/>
      <c r="M30" s="11" t="s">
        <v>48</v>
      </c>
      <c r="N30" s="34"/>
      <c r="O30" s="310"/>
      <c r="P30" s="309"/>
      <c r="Q30" s="34"/>
      <c r="R30" s="34"/>
      <c r="S30" s="34"/>
      <c r="T30" s="34"/>
      <c r="U30" s="34"/>
      <c r="V30" s="34"/>
      <c r="W30" s="310"/>
      <c r="Y30" s="57"/>
      <c r="Z30" s="57"/>
    </row>
    <row r="31" spans="1:46" ht="15.75" thickBot="1">
      <c r="A31" s="309"/>
      <c r="B31" s="34"/>
      <c r="C31" s="34"/>
      <c r="D31" s="34" t="s">
        <v>1949</v>
      </c>
      <c r="F31" s="34"/>
      <c r="G31" s="34"/>
      <c r="H31" s="34"/>
      <c r="I31" s="34"/>
      <c r="J31" s="34"/>
      <c r="K31" s="16"/>
      <c r="L31" s="17" t="str">
        <f>C16</f>
        <v xml:space="preserve">Metric </v>
      </c>
      <c r="M31" s="11" t="s">
        <v>49</v>
      </c>
      <c r="N31" s="34"/>
      <c r="O31" s="310"/>
      <c r="P31" s="309"/>
      <c r="Q31" s="34"/>
      <c r="R31" s="34"/>
      <c r="S31" s="34"/>
      <c r="T31" s="34"/>
      <c r="U31" s="34"/>
      <c r="V31" s="34"/>
      <c r="W31" s="310"/>
      <c r="AK31" s="177"/>
      <c r="AL31" s="178"/>
    </row>
    <row r="32" spans="1:46" ht="15.75" thickBot="1">
      <c r="A32" s="309"/>
      <c r="B32" s="34"/>
      <c r="C32" s="34"/>
      <c r="D32" s="34" t="s">
        <v>40</v>
      </c>
      <c r="E32" s="34">
        <f>IF(AND(B16=1,M29&gt;10),1,IF(AND(B16=2,M29&gt;10),1,0))</f>
        <v>0</v>
      </c>
      <c r="F32" s="34"/>
      <c r="G32" s="34">
        <f>IF(B16=1,10,393)</f>
        <v>10</v>
      </c>
      <c r="H32" s="34"/>
      <c r="I32" s="34"/>
      <c r="J32" s="34"/>
      <c r="K32" s="34"/>
      <c r="L32" s="34"/>
      <c r="M32" s="14" t="s">
        <v>47</v>
      </c>
      <c r="N32" s="34"/>
      <c r="O32" s="310"/>
      <c r="P32" s="309"/>
      <c r="Q32" s="34"/>
      <c r="R32" s="34"/>
      <c r="S32" s="34"/>
      <c r="T32" s="34"/>
      <c r="U32" s="34"/>
      <c r="V32" s="34"/>
      <c r="W32" s="310"/>
      <c r="AK32" s="177"/>
      <c r="AL32" s="178"/>
      <c r="AN32" s="176"/>
      <c r="AO32" s="176"/>
    </row>
    <row r="33" spans="1:42">
      <c r="A33" s="309"/>
      <c r="B33" s="34"/>
      <c r="C33" s="34"/>
      <c r="D33" s="57" t="s">
        <v>1976</v>
      </c>
      <c r="E33" s="34">
        <f>SUM(E25:E32)</f>
        <v>0</v>
      </c>
      <c r="F33" s="34"/>
      <c r="G33" s="34"/>
      <c r="H33" s="34"/>
      <c r="I33" s="34"/>
      <c r="J33" s="34"/>
      <c r="K33" s="34"/>
      <c r="L33" s="34"/>
      <c r="M33" s="34"/>
      <c r="N33" s="34"/>
      <c r="O33" s="310"/>
      <c r="P33" s="309"/>
      <c r="Q33" s="57"/>
      <c r="R33" s="34"/>
      <c r="S33" s="34"/>
      <c r="T33" s="34"/>
      <c r="U33" s="34"/>
      <c r="V33" s="34"/>
      <c r="W33" s="310"/>
      <c r="AB33" s="57"/>
      <c r="AC33" s="57"/>
      <c r="AJ33" s="299"/>
      <c r="AK33" s="177"/>
      <c r="AL33" s="178"/>
      <c r="AN33" s="176"/>
      <c r="AO33" s="176"/>
    </row>
    <row r="34" spans="1:42">
      <c r="A34" s="309"/>
      <c r="B34" s="34"/>
      <c r="C34" s="34"/>
      <c r="D34" s="34"/>
      <c r="E34" s="34"/>
      <c r="F34" s="34"/>
      <c r="G34" s="34"/>
      <c r="H34" s="34"/>
      <c r="I34" s="34"/>
      <c r="J34" s="34"/>
      <c r="K34" s="34"/>
      <c r="L34" s="34"/>
      <c r="M34" s="34"/>
      <c r="N34" s="34"/>
      <c r="O34" s="310"/>
      <c r="P34" s="309"/>
      <c r="Q34" s="57"/>
      <c r="R34" s="34"/>
      <c r="S34" s="34"/>
      <c r="T34" s="34"/>
      <c r="U34" s="34"/>
      <c r="V34" s="34"/>
      <c r="W34" s="310"/>
      <c r="AB34" s="57"/>
      <c r="AC34" s="57"/>
      <c r="AJ34" s="299"/>
      <c r="AK34" s="177"/>
      <c r="AL34" s="178"/>
      <c r="AN34" s="176"/>
      <c r="AO34" s="176"/>
    </row>
    <row r="35" spans="1:42" ht="15.75" thickBot="1">
      <c r="A35" s="309"/>
      <c r="B35" s="34"/>
      <c r="C35" s="34"/>
      <c r="D35" s="34"/>
      <c r="E35" s="34"/>
      <c r="F35" s="34"/>
      <c r="G35" s="34"/>
      <c r="H35" s="34"/>
      <c r="I35" s="34"/>
      <c r="J35" s="34"/>
      <c r="K35" s="34"/>
      <c r="L35" s="34"/>
      <c r="M35" s="34"/>
      <c r="N35" s="34"/>
      <c r="O35" s="310"/>
      <c r="P35" s="309"/>
      <c r="Q35" s="57"/>
      <c r="R35" s="34"/>
      <c r="S35" s="34"/>
      <c r="T35" s="34"/>
      <c r="U35" s="34"/>
      <c r="V35" s="34"/>
      <c r="W35" s="310"/>
      <c r="AB35" s="57"/>
      <c r="AC35" s="57"/>
      <c r="AK35" s="177"/>
      <c r="AL35" s="178"/>
      <c r="AN35" s="176"/>
      <c r="AO35" s="176"/>
    </row>
    <row r="36" spans="1:42" ht="15.75" thickBot="1">
      <c r="A36" s="29"/>
      <c r="B36" s="30" t="s">
        <v>58</v>
      </c>
      <c r="C36" s="31"/>
      <c r="D36" s="31"/>
      <c r="E36" s="31"/>
      <c r="F36" s="31"/>
      <c r="G36" s="31"/>
      <c r="H36" s="31"/>
      <c r="I36" s="31"/>
      <c r="J36" s="31"/>
      <c r="K36" s="31"/>
      <c r="L36" s="31"/>
      <c r="M36" s="31"/>
      <c r="N36" s="32"/>
      <c r="O36" s="310"/>
      <c r="P36" s="312"/>
      <c r="Q36" s="318"/>
      <c r="R36" s="313"/>
      <c r="S36" s="313"/>
      <c r="T36" s="313"/>
      <c r="U36" s="313"/>
      <c r="V36" s="313"/>
      <c r="W36" s="314"/>
      <c r="AB36" s="57"/>
      <c r="AC36" s="57"/>
      <c r="AK36" s="177"/>
      <c r="AL36" s="178"/>
      <c r="AN36" s="176"/>
      <c r="AO36" s="176"/>
    </row>
    <row r="37" spans="1:42">
      <c r="A37" s="33"/>
      <c r="B37" s="34"/>
      <c r="C37" s="34"/>
      <c r="D37" s="34"/>
      <c r="E37" s="34"/>
      <c r="F37" s="34"/>
      <c r="G37" s="34"/>
      <c r="H37" s="34"/>
      <c r="I37" s="34"/>
      <c r="J37" s="34"/>
      <c r="K37" s="34"/>
      <c r="L37" s="34"/>
      <c r="M37" s="34"/>
      <c r="N37" s="35"/>
      <c r="O37" s="310"/>
      <c r="R37" s="57"/>
      <c r="Y37" s="34"/>
      <c r="Z37" s="34"/>
      <c r="AB37" s="57"/>
      <c r="AC37" s="57"/>
      <c r="AK37" s="177"/>
      <c r="AL37" s="178"/>
      <c r="AN37" s="176"/>
      <c r="AO37" s="176"/>
    </row>
    <row r="38" spans="1:42">
      <c r="A38" s="33" t="s">
        <v>14</v>
      </c>
      <c r="B38" s="34"/>
      <c r="C38" s="41">
        <f>M29</f>
        <v>1</v>
      </c>
      <c r="D38" s="34" t="s">
        <v>59</v>
      </c>
      <c r="E38" s="34"/>
      <c r="F38" s="34"/>
      <c r="G38" s="34"/>
      <c r="H38" s="34"/>
      <c r="I38" s="34">
        <f>IF((J42+J44)&gt;H40,1,0)</f>
        <v>0</v>
      </c>
      <c r="J38" s="34"/>
      <c r="K38" s="34"/>
      <c r="L38" s="289">
        <f>LOOKUP(Input!$C$15,Data!$M$39:$M$40,Data!$L$39:$L$40)</f>
        <v>1</v>
      </c>
      <c r="M38" s="184" t="s">
        <v>336</v>
      </c>
      <c r="N38" s="351"/>
      <c r="O38" s="310"/>
      <c r="V38" s="57"/>
      <c r="W38" s="57"/>
      <c r="Y38" s="34"/>
      <c r="Z38" s="34"/>
      <c r="AB38" s="57"/>
      <c r="AC38" s="57"/>
      <c r="AM38" s="176"/>
      <c r="AP38" s="176"/>
    </row>
    <row r="39" spans="1:42">
      <c r="A39" s="33" t="s">
        <v>60</v>
      </c>
      <c r="B39" s="34"/>
      <c r="C39" s="41">
        <f>C38</f>
        <v>1</v>
      </c>
      <c r="D39" s="34" t="s">
        <v>59</v>
      </c>
      <c r="E39" s="34"/>
      <c r="F39" s="34"/>
      <c r="G39" s="34"/>
      <c r="H39" s="34"/>
      <c r="I39" s="34">
        <f>IF(I38=1,J39,C41)</f>
        <v>1E-3</v>
      </c>
      <c r="J39" s="34">
        <f>I43*C38</f>
        <v>3.1622776601683791E-2</v>
      </c>
      <c r="K39" s="34"/>
      <c r="L39" s="67">
        <v>1</v>
      </c>
      <c r="M39" s="279" t="s">
        <v>337</v>
      </c>
      <c r="N39" s="304"/>
      <c r="O39" s="310"/>
      <c r="Y39" s="34"/>
      <c r="Z39" s="34"/>
      <c r="AN39" s="176"/>
      <c r="AO39" s="176"/>
      <c r="AP39" t="s">
        <v>1899</v>
      </c>
    </row>
    <row r="40" spans="1:42">
      <c r="A40" s="33" t="s">
        <v>61</v>
      </c>
      <c r="B40" s="34"/>
      <c r="C40" s="41">
        <f>M25</f>
        <v>1</v>
      </c>
      <c r="D40" s="34" t="s">
        <v>5</v>
      </c>
      <c r="E40" s="34"/>
      <c r="F40" s="34"/>
      <c r="G40" s="34"/>
      <c r="H40" s="41">
        <f>C40/1000</f>
        <v>1E-3</v>
      </c>
      <c r="I40" s="34"/>
      <c r="J40" s="34"/>
      <c r="K40" s="34"/>
      <c r="L40" s="72">
        <v>2</v>
      </c>
      <c r="M40" s="113" t="s">
        <v>222</v>
      </c>
      <c r="N40" s="352"/>
      <c r="O40" s="310"/>
      <c r="Y40" s="34"/>
      <c r="Z40" s="34"/>
      <c r="AN40" s="176"/>
      <c r="AO40" s="176"/>
      <c r="AP40" s="176">
        <v>1</v>
      </c>
    </row>
    <row r="41" spans="1:42">
      <c r="A41" s="33" t="s">
        <v>57</v>
      </c>
      <c r="B41" s="34"/>
      <c r="C41" s="41">
        <f>M28/1000</f>
        <v>1E-3</v>
      </c>
      <c r="D41" s="34" t="s">
        <v>62</v>
      </c>
      <c r="E41" s="34"/>
      <c r="F41" s="34"/>
      <c r="G41" s="34"/>
      <c r="H41" s="34"/>
      <c r="I41" s="34"/>
      <c r="J41" s="34"/>
      <c r="K41" s="34"/>
      <c r="L41" s="34"/>
      <c r="M41" s="34"/>
      <c r="N41" s="35"/>
      <c r="O41" s="310"/>
      <c r="AN41" s="176"/>
      <c r="AO41" s="176"/>
      <c r="AP41">
        <v>0.99</v>
      </c>
    </row>
    <row r="42" spans="1:42">
      <c r="A42" s="33" t="s">
        <v>63</v>
      </c>
      <c r="B42" s="34"/>
      <c r="C42" s="42">
        <f>1000*H42</f>
        <v>5.0000000000000001E-4</v>
      </c>
      <c r="D42" s="34" t="s">
        <v>5</v>
      </c>
      <c r="E42" s="34"/>
      <c r="F42" s="34"/>
      <c r="G42" s="34"/>
      <c r="H42" s="43">
        <f>IF(I38=0,J42,I42)</f>
        <v>4.9999999999999998E-7</v>
      </c>
      <c r="I42" s="34">
        <f>H40*C39/(C39+C38)</f>
        <v>5.0000000000000001E-4</v>
      </c>
      <c r="J42" s="44">
        <f>C38*J43*J43/2</f>
        <v>4.9999999999999998E-7</v>
      </c>
      <c r="K42" s="279"/>
      <c r="L42" s="34"/>
      <c r="M42" s="34"/>
      <c r="N42" s="35"/>
      <c r="O42" s="310"/>
      <c r="AN42" s="176"/>
      <c r="AO42" s="176"/>
      <c r="AP42" s="176">
        <v>0.98</v>
      </c>
    </row>
    <row r="43" spans="1:42">
      <c r="A43" s="33" t="s">
        <v>64</v>
      </c>
      <c r="B43" s="34"/>
      <c r="C43" s="43">
        <f>IF($I$168=0,J43,I43)</f>
        <v>1E-3</v>
      </c>
      <c r="D43" s="34" t="s">
        <v>65</v>
      </c>
      <c r="E43" s="34"/>
      <c r="F43" s="34"/>
      <c r="G43" s="34"/>
      <c r="H43" s="34"/>
      <c r="I43" s="34">
        <f>SQRT(2*I42/C38)</f>
        <v>3.1622776601683791E-2</v>
      </c>
      <c r="J43" s="44">
        <f>C41/C38</f>
        <v>1E-3</v>
      </c>
      <c r="K43" s="34"/>
      <c r="L43" s="34"/>
      <c r="M43" s="34"/>
      <c r="N43" s="35"/>
      <c r="O43" s="310"/>
      <c r="AN43" s="176"/>
      <c r="AO43" s="176"/>
      <c r="AP43" s="755">
        <v>0.97</v>
      </c>
    </row>
    <row r="44" spans="1:42">
      <c r="A44" s="33" t="s">
        <v>66</v>
      </c>
      <c r="B44" s="34"/>
      <c r="C44" s="42">
        <f>H44*1000</f>
        <v>5.0000000000000001E-4</v>
      </c>
      <c r="D44" s="34" t="s">
        <v>5</v>
      </c>
      <c r="E44" s="34"/>
      <c r="F44" s="34"/>
      <c r="G44" s="34"/>
      <c r="H44" s="43">
        <f>IF(I38=0,J44,I44)</f>
        <v>4.9999999999999998E-7</v>
      </c>
      <c r="I44" s="34">
        <f>H40*C38/(C39+C38)</f>
        <v>5.0000000000000001E-4</v>
      </c>
      <c r="J44" s="44">
        <f>C39*J45*J45/2</f>
        <v>4.9999999999999998E-7</v>
      </c>
      <c r="K44" s="34"/>
      <c r="L44" s="34"/>
      <c r="M44" s="34"/>
      <c r="N44" s="35"/>
      <c r="O44" s="310"/>
      <c r="AP44" s="176">
        <v>0.96</v>
      </c>
    </row>
    <row r="45" spans="1:42">
      <c r="A45" s="33" t="s">
        <v>67</v>
      </c>
      <c r="B45" s="34"/>
      <c r="C45" s="43">
        <f>IF($I$168=0,J45,I45)</f>
        <v>1E-3</v>
      </c>
      <c r="D45" s="34" t="s">
        <v>65</v>
      </c>
      <c r="E45" s="34"/>
      <c r="F45" s="34"/>
      <c r="G45" s="34"/>
      <c r="H45" s="34"/>
      <c r="I45" s="34">
        <f>SQRT(2*I44/C39)</f>
        <v>3.1622776601683791E-2</v>
      </c>
      <c r="J45" s="44">
        <f>C41/C39</f>
        <v>1E-3</v>
      </c>
      <c r="K45" s="34">
        <f>IF(E33=0,0,"")</f>
        <v>0</v>
      </c>
      <c r="L45" s="37">
        <f>IF(E33=0,H42*1000/F17,"")</f>
        <v>5.0000000000000001E-4</v>
      </c>
      <c r="M45" s="37">
        <f>IF(E33=0,L45+H46*1000/F17,"")</f>
        <v>0.99949999999999983</v>
      </c>
      <c r="N45" s="35">
        <f>IF(E33=0,H40*1000/F17,"")</f>
        <v>1</v>
      </c>
      <c r="O45" s="310"/>
      <c r="AP45" s="755">
        <v>0.95</v>
      </c>
    </row>
    <row r="46" spans="1:42">
      <c r="A46" s="33" t="s">
        <v>68</v>
      </c>
      <c r="B46" s="34"/>
      <c r="C46" s="42">
        <f>H46*1000</f>
        <v>0.99899999999999989</v>
      </c>
      <c r="D46" s="34" t="s">
        <v>5</v>
      </c>
      <c r="E46" s="34"/>
      <c r="F46" s="34"/>
      <c r="G46" s="34"/>
      <c r="H46" s="43">
        <f>H40-H42-H44</f>
        <v>9.9899999999999989E-4</v>
      </c>
      <c r="I46" s="34"/>
      <c r="J46" s="38" t="str">
        <f>IF((H42+H44)&gt;H40,"Du når ej önskad max hastighet"," ")</f>
        <v xml:space="preserve"> </v>
      </c>
      <c r="K46" s="34">
        <f>IF(E33=0,0,"")</f>
        <v>0</v>
      </c>
      <c r="L46" s="34">
        <f>IF(E33=0,I39/I18*1000,"")</f>
        <v>1</v>
      </c>
      <c r="M46" s="34">
        <f>L46</f>
        <v>1</v>
      </c>
      <c r="N46" s="35">
        <f>IF(E33=0,0,"")</f>
        <v>0</v>
      </c>
      <c r="O46" s="310"/>
      <c r="AP46" s="176">
        <v>0.94</v>
      </c>
    </row>
    <row r="47" spans="1:42">
      <c r="A47" s="33" t="s">
        <v>69</v>
      </c>
      <c r="B47" s="34"/>
      <c r="C47" s="43">
        <f>H46/C41</f>
        <v>0.99899999999999989</v>
      </c>
      <c r="D47" s="34" t="s">
        <v>65</v>
      </c>
      <c r="E47" s="34"/>
      <c r="F47" s="34"/>
      <c r="G47" s="34"/>
      <c r="H47" s="34"/>
      <c r="I47" s="34"/>
      <c r="J47" s="34"/>
      <c r="K47" s="34"/>
      <c r="L47" s="34"/>
      <c r="M47" s="34"/>
      <c r="N47" s="35"/>
      <c r="O47" s="310"/>
      <c r="AP47" s="755">
        <v>0.93</v>
      </c>
    </row>
    <row r="48" spans="1:42">
      <c r="A48" s="33" t="s">
        <v>70</v>
      </c>
      <c r="B48" s="34"/>
      <c r="C48" s="43">
        <f>IF($I$168=0,J48,I48)</f>
        <v>1.0009999999999999</v>
      </c>
      <c r="D48" s="34" t="s">
        <v>65</v>
      </c>
      <c r="E48" s="34"/>
      <c r="F48" s="34"/>
      <c r="G48" s="34"/>
      <c r="H48" s="34"/>
      <c r="I48" s="34">
        <f>I43+I45</f>
        <v>6.3245553203367583E-2</v>
      </c>
      <c r="J48" s="43">
        <f>C45+C43+C47</f>
        <v>1.0009999999999999</v>
      </c>
      <c r="K48" s="34"/>
      <c r="L48" s="34"/>
      <c r="M48" s="34"/>
      <c r="N48" s="35"/>
      <c r="O48" s="310"/>
      <c r="AP48" s="176">
        <v>0.92</v>
      </c>
    </row>
    <row r="49" spans="1:42">
      <c r="A49" s="33" t="s">
        <v>11</v>
      </c>
      <c r="B49" s="34"/>
      <c r="C49" s="43">
        <f>H40/C48</f>
        <v>9.9900099900099922E-4</v>
      </c>
      <c r="D49" s="34" t="s">
        <v>62</v>
      </c>
      <c r="E49" s="34">
        <f>C49/4*60*1000</f>
        <v>14.985014985014988</v>
      </c>
      <c r="F49" s="34"/>
      <c r="G49" s="34"/>
      <c r="H49" s="34"/>
      <c r="I49" s="34"/>
      <c r="J49" s="34"/>
      <c r="K49" s="34"/>
      <c r="L49" s="34" t="s">
        <v>1950</v>
      </c>
      <c r="M49" s="34">
        <f>Input!C22</f>
        <v>1</v>
      </c>
      <c r="N49" s="35"/>
      <c r="O49" s="310"/>
      <c r="AP49" s="755">
        <v>0.91</v>
      </c>
    </row>
    <row r="50" spans="1:42">
      <c r="A50" s="33" t="s">
        <v>366</v>
      </c>
      <c r="B50" s="34"/>
      <c r="C50" s="43">
        <f>((1-Input!$C$27)*60)/Input!$C$22</f>
        <v>57.997999999999998</v>
      </c>
      <c r="D50" s="57" t="s">
        <v>65</v>
      </c>
      <c r="E50" s="34">
        <f>C42/C43+C44/C45+C46/C47</f>
        <v>2</v>
      </c>
      <c r="F50" s="34">
        <f>E50/3</f>
        <v>0.66666666666666663</v>
      </c>
      <c r="G50" s="34">
        <f>(F50*60)/4</f>
        <v>10</v>
      </c>
      <c r="H50" s="34"/>
      <c r="I50" s="34"/>
      <c r="J50" s="34"/>
      <c r="K50" s="34"/>
      <c r="L50" s="34" t="s">
        <v>70</v>
      </c>
      <c r="M50" s="37">
        <f>C48</f>
        <v>1.0009999999999999</v>
      </c>
      <c r="N50" s="35"/>
      <c r="O50" s="310"/>
      <c r="AP50" s="176">
        <v>0.9</v>
      </c>
    </row>
    <row r="51" spans="1:42">
      <c r="A51" s="62" t="str">
        <f>IF(I38=1,"You will not reach full speed!"," ")</f>
        <v xml:space="preserve"> </v>
      </c>
      <c r="B51" s="63"/>
      <c r="C51" s="63"/>
      <c r="D51" s="63"/>
      <c r="E51" s="34"/>
      <c r="F51" s="34"/>
      <c r="G51" s="34"/>
      <c r="H51" s="34"/>
      <c r="I51" s="34"/>
      <c r="J51" s="34"/>
      <c r="K51" s="34"/>
      <c r="L51" s="34" t="s">
        <v>1951</v>
      </c>
      <c r="M51" s="899">
        <f>M49*M50*2/60</f>
        <v>3.3366666666666663E-2</v>
      </c>
      <c r="N51" s="35"/>
      <c r="O51" s="310"/>
      <c r="AP51" s="755">
        <v>0.89</v>
      </c>
    </row>
    <row r="52" spans="1:42" ht="15.75" thickBot="1">
      <c r="A52" s="64" t="str">
        <f>IF(I38=1,"You will reach: "&amp;ROUND(C52,0)," ")</f>
        <v xml:space="preserve"> </v>
      </c>
      <c r="B52" s="65"/>
      <c r="C52" s="45" t="str">
        <f>IF(AND(B16=1,I38=1),(I43*C38/I18)*1000,IF(I38=1,I43*C38/I18," "))</f>
        <v xml:space="preserve"> </v>
      </c>
      <c r="D52" s="66" t="str">
        <f>IF(I38=1,G16," ")</f>
        <v xml:space="preserve"> </v>
      </c>
      <c r="E52" s="39"/>
      <c r="F52" s="39"/>
      <c r="G52" s="39"/>
      <c r="H52" s="39"/>
      <c r="I52" s="39"/>
      <c r="J52" s="39"/>
      <c r="K52" s="39"/>
      <c r="L52" s="39"/>
      <c r="M52" s="39"/>
      <c r="N52" s="40"/>
      <c r="O52" s="310"/>
      <c r="AP52" s="176">
        <v>0.88</v>
      </c>
    </row>
    <row r="53" spans="1:42">
      <c r="A53" s="309"/>
      <c r="B53" s="34"/>
      <c r="C53" s="34"/>
      <c r="D53" s="34"/>
      <c r="E53" s="34"/>
      <c r="F53" s="34"/>
      <c r="G53" s="34"/>
      <c r="H53" s="34"/>
      <c r="I53" s="34"/>
      <c r="J53" s="34"/>
      <c r="K53" s="34"/>
      <c r="L53" s="34"/>
      <c r="M53" s="34"/>
      <c r="N53" s="34"/>
      <c r="O53" s="310"/>
      <c r="AP53" s="755">
        <v>0.87</v>
      </c>
    </row>
    <row r="54" spans="1:42" ht="15.75" thickBot="1">
      <c r="A54" s="312"/>
      <c r="B54" s="313"/>
      <c r="C54" s="313"/>
      <c r="D54" s="313"/>
      <c r="E54" s="313"/>
      <c r="F54" s="313"/>
      <c r="G54" s="313"/>
      <c r="H54" s="313"/>
      <c r="I54" s="313"/>
      <c r="J54" s="313"/>
      <c r="K54" s="313"/>
      <c r="L54" s="313"/>
      <c r="M54" s="313"/>
      <c r="N54" s="313"/>
      <c r="O54" s="314"/>
      <c r="AP54" s="176">
        <v>0.86</v>
      </c>
    </row>
    <row r="55" spans="1:42" ht="15.75" thickBot="1">
      <c r="AP55" s="755">
        <v>0.85</v>
      </c>
    </row>
    <row r="56" spans="1:42">
      <c r="B56" s="305"/>
      <c r="C56" s="306"/>
      <c r="D56" s="306"/>
      <c r="E56" s="306"/>
      <c r="F56" s="306"/>
      <c r="G56" s="319"/>
      <c r="H56" s="320"/>
      <c r="I56" s="306"/>
      <c r="J56" s="306"/>
      <c r="K56" s="306"/>
      <c r="L56" s="316"/>
      <c r="AP56" s="176">
        <v>0.84</v>
      </c>
    </row>
    <row r="57" spans="1:42" ht="26.25">
      <c r="B57" s="994" t="s">
        <v>464</v>
      </c>
      <c r="C57" s="995"/>
      <c r="D57" s="34"/>
      <c r="E57" s="34"/>
      <c r="F57" s="34"/>
      <c r="G57" s="200"/>
      <c r="H57" s="57"/>
      <c r="I57" s="34"/>
      <c r="J57" s="34"/>
      <c r="K57" s="34"/>
      <c r="L57" s="310"/>
      <c r="AP57" s="755">
        <v>0.83</v>
      </c>
    </row>
    <row r="58" spans="1:42">
      <c r="B58" s="309"/>
      <c r="C58" s="95" t="s">
        <v>153</v>
      </c>
      <c r="D58" s="96" t="s">
        <v>154</v>
      </c>
      <c r="E58" s="96" t="s">
        <v>155</v>
      </c>
      <c r="F58" s="96" t="s">
        <v>158</v>
      </c>
      <c r="G58" s="97" t="s">
        <v>77</v>
      </c>
      <c r="H58" s="57"/>
      <c r="I58" s="57"/>
      <c r="J58" s="349"/>
      <c r="K58" s="349"/>
      <c r="L58" s="310"/>
      <c r="AP58" s="176">
        <v>0.82</v>
      </c>
    </row>
    <row r="59" spans="1:42">
      <c r="B59" s="309"/>
      <c r="C59" s="98">
        <f>LOOKUP(Input!$H$15,Data!$D$60:$D$62,Data!$C$60:$C$62)</f>
        <v>1</v>
      </c>
      <c r="D59" s="100" t="str">
        <f>VLOOKUP(C59,C60:F62,2,FALSE)</f>
        <v>LX-In Line</v>
      </c>
      <c r="E59" s="101">
        <f>VLOOKUP(C59,C60:F62,3,FALSE)</f>
        <v>0.9</v>
      </c>
      <c r="F59" s="100">
        <f>VLOOKUP(C59,C60:F62,4,FALSE)</f>
        <v>0</v>
      </c>
      <c r="G59" s="102">
        <f>VLOOKUP(C59,C60:G62,5,FALSE)</f>
        <v>1</v>
      </c>
      <c r="H59" s="57"/>
      <c r="I59" s="57"/>
      <c r="J59" s="57"/>
      <c r="K59" s="57"/>
      <c r="L59" s="310"/>
      <c r="AP59" s="755">
        <v>0.81</v>
      </c>
    </row>
    <row r="60" spans="1:42">
      <c r="B60" s="309"/>
      <c r="C60" s="67">
        <v>1</v>
      </c>
      <c r="D60" s="34" t="s">
        <v>169</v>
      </c>
      <c r="E60" s="93">
        <v>0.9</v>
      </c>
      <c r="F60" s="34">
        <v>0</v>
      </c>
      <c r="G60" s="68">
        <v>1</v>
      </c>
      <c r="H60" s="57"/>
      <c r="I60" s="57"/>
      <c r="J60" s="57"/>
      <c r="K60" s="57"/>
      <c r="L60" s="310"/>
      <c r="AP60" s="176">
        <v>0.8</v>
      </c>
    </row>
    <row r="61" spans="1:42">
      <c r="B61" s="309"/>
      <c r="C61" s="67">
        <v>2</v>
      </c>
      <c r="D61" s="34" t="s">
        <v>402</v>
      </c>
      <c r="E61" s="93">
        <v>0.8</v>
      </c>
      <c r="F61" s="34">
        <v>0.1</v>
      </c>
      <c r="G61" s="68">
        <v>1</v>
      </c>
      <c r="H61" s="57"/>
      <c r="I61" s="34"/>
      <c r="J61" s="34"/>
      <c r="K61" s="34"/>
      <c r="L61" s="310"/>
      <c r="AP61" s="755">
        <v>0.79</v>
      </c>
    </row>
    <row r="62" spans="1:42">
      <c r="B62" s="309"/>
      <c r="C62" s="72">
        <v>3</v>
      </c>
      <c r="D62" s="89" t="s">
        <v>170</v>
      </c>
      <c r="E62" s="94">
        <v>0.9</v>
      </c>
      <c r="F62" s="89">
        <v>0</v>
      </c>
      <c r="G62" s="90">
        <v>1</v>
      </c>
      <c r="H62" s="34"/>
      <c r="I62" s="34"/>
      <c r="J62" s="34"/>
      <c r="K62" s="34"/>
      <c r="L62" s="310"/>
      <c r="AP62" s="176">
        <v>0.78</v>
      </c>
    </row>
    <row r="63" spans="1:42">
      <c r="B63" s="309"/>
      <c r="C63" s="34"/>
      <c r="D63" s="34"/>
      <c r="E63" s="34"/>
      <c r="F63" s="34"/>
      <c r="G63" s="34"/>
      <c r="H63" s="34"/>
      <c r="I63" s="34"/>
      <c r="J63" s="34"/>
      <c r="K63" s="34"/>
      <c r="L63" s="310"/>
      <c r="AP63" s="755">
        <v>0.77</v>
      </c>
    </row>
    <row r="64" spans="1:42">
      <c r="B64" s="309"/>
      <c r="C64" s="34"/>
      <c r="D64" s="34"/>
      <c r="E64" s="34"/>
      <c r="F64" s="34"/>
      <c r="G64" s="34"/>
      <c r="H64" s="34"/>
      <c r="I64" s="34"/>
      <c r="J64" s="34"/>
      <c r="K64" s="34"/>
      <c r="L64" s="310"/>
      <c r="AP64" s="176">
        <v>0.76</v>
      </c>
    </row>
    <row r="65" spans="2:42">
      <c r="B65" s="336"/>
      <c r="C65" s="1006" t="s">
        <v>233</v>
      </c>
      <c r="D65" s="1007"/>
      <c r="E65" s="1007"/>
      <c r="F65" s="1007"/>
      <c r="G65" s="1007"/>
      <c r="H65" s="1007"/>
      <c r="I65" s="1007"/>
      <c r="J65" s="1007"/>
      <c r="K65" s="34"/>
      <c r="L65" s="310"/>
      <c r="AP65" s="755">
        <v>0.75</v>
      </c>
    </row>
    <row r="66" spans="2:42">
      <c r="B66" s="309"/>
      <c r="C66" s="76"/>
      <c r="D66" s="72">
        <v>2</v>
      </c>
      <c r="E66" s="347">
        <v>3</v>
      </c>
      <c r="F66" s="105">
        <v>4</v>
      </c>
      <c r="G66" s="105">
        <v>5</v>
      </c>
      <c r="H66" s="105">
        <v>6</v>
      </c>
      <c r="I66" s="105">
        <v>7</v>
      </c>
      <c r="J66" s="126">
        <v>8</v>
      </c>
      <c r="K66" s="34"/>
      <c r="L66" s="310"/>
      <c r="AP66" s="176">
        <v>0.74</v>
      </c>
    </row>
    <row r="67" spans="2:42">
      <c r="B67" s="309"/>
      <c r="C67" s="67" t="s">
        <v>170</v>
      </c>
      <c r="D67" s="80" t="s">
        <v>171</v>
      </c>
      <c r="E67" s="116" t="s">
        <v>226</v>
      </c>
      <c r="F67" s="149" t="s">
        <v>226</v>
      </c>
      <c r="G67" s="149" t="s">
        <v>226</v>
      </c>
      <c r="H67" s="78" t="s">
        <v>172</v>
      </c>
      <c r="I67" s="78" t="s">
        <v>177</v>
      </c>
      <c r="J67" s="78" t="s">
        <v>176</v>
      </c>
      <c r="K67" s="34"/>
      <c r="L67" s="310"/>
      <c r="AP67" s="755">
        <v>0.73</v>
      </c>
    </row>
    <row r="68" spans="2:42">
      <c r="B68" s="309"/>
      <c r="C68" s="67" t="s">
        <v>169</v>
      </c>
      <c r="D68" s="80" t="s">
        <v>171</v>
      </c>
      <c r="E68" s="116" t="s">
        <v>226</v>
      </c>
      <c r="F68" s="149" t="s">
        <v>226</v>
      </c>
      <c r="G68" s="80" t="s">
        <v>173</v>
      </c>
      <c r="H68" s="78" t="s">
        <v>172</v>
      </c>
      <c r="I68" s="78" t="s">
        <v>177</v>
      </c>
      <c r="J68" s="78" t="s">
        <v>176</v>
      </c>
      <c r="K68" s="34"/>
      <c r="L68" s="310"/>
      <c r="AP68" s="176">
        <v>0.72</v>
      </c>
    </row>
    <row r="69" spans="2:42">
      <c r="B69" s="309"/>
      <c r="C69" s="72" t="s">
        <v>402</v>
      </c>
      <c r="D69" s="81" t="s">
        <v>171</v>
      </c>
      <c r="E69" s="81" t="s">
        <v>174</v>
      </c>
      <c r="F69" s="81" t="s">
        <v>175</v>
      </c>
      <c r="G69" s="81" t="s">
        <v>173</v>
      </c>
      <c r="H69" s="103" t="s">
        <v>172</v>
      </c>
      <c r="I69" s="103" t="s">
        <v>177</v>
      </c>
      <c r="J69" s="103" t="s">
        <v>176</v>
      </c>
      <c r="K69" s="34"/>
      <c r="L69" s="310"/>
      <c r="P69" s="34"/>
      <c r="Q69" s="34"/>
      <c r="R69" s="34"/>
      <c r="S69" s="34"/>
      <c r="T69" s="34"/>
      <c r="U69" s="34"/>
      <c r="V69" s="34"/>
      <c r="W69" s="34"/>
      <c r="X69" s="34"/>
      <c r="Y69" s="34"/>
      <c r="Z69" s="34"/>
      <c r="AA69" s="34"/>
      <c r="AB69" s="34"/>
      <c r="AP69" s="755">
        <v>0.71</v>
      </c>
    </row>
    <row r="70" spans="2:42">
      <c r="B70" s="309"/>
      <c r="C70" s="34"/>
      <c r="D70" s="34"/>
      <c r="E70" s="34"/>
      <c r="F70" s="34"/>
      <c r="G70" s="34"/>
      <c r="H70" s="34"/>
      <c r="I70" s="34"/>
      <c r="J70" s="34"/>
      <c r="K70" s="34"/>
      <c r="L70" s="310"/>
      <c r="AP70" s="176">
        <v>0.7</v>
      </c>
    </row>
    <row r="71" spans="2:42">
      <c r="B71" s="309"/>
      <c r="C71" s="57"/>
      <c r="D71" s="209" t="s">
        <v>159</v>
      </c>
      <c r="E71" s="210"/>
      <c r="F71" s="34"/>
      <c r="G71" s="111"/>
      <c r="H71" s="209" t="s">
        <v>160</v>
      </c>
      <c r="I71" s="210"/>
      <c r="J71" s="34"/>
      <c r="K71" s="34"/>
      <c r="L71" s="310"/>
      <c r="AP71" s="755">
        <v>0.69</v>
      </c>
    </row>
    <row r="72" spans="2:42" ht="15.75" thickBot="1">
      <c r="B72" s="309"/>
      <c r="C72" s="321">
        <f>LOOKUP(Input!$L$15,Data!$D$73:$D$79,Data!$C$73:$C$79)</f>
        <v>2</v>
      </c>
      <c r="D72" s="92" t="str">
        <f>Input!$L$15</f>
        <v>F-Feet Kit</v>
      </c>
      <c r="E72" s="74" t="s">
        <v>152</v>
      </c>
      <c r="F72" s="34"/>
      <c r="G72" s="264">
        <f>LOOKUP(Input!$L$18,Data!$H$73:$H$76,Data!$G$73:$G$76)</f>
        <v>1</v>
      </c>
      <c r="H72" s="67"/>
      <c r="I72" s="74" t="s">
        <v>152</v>
      </c>
      <c r="J72" s="34"/>
      <c r="K72" s="34"/>
      <c r="L72" s="310"/>
      <c r="AP72" s="176">
        <v>0.68</v>
      </c>
    </row>
    <row r="73" spans="2:42">
      <c r="B73" s="309"/>
      <c r="C73" s="79">
        <v>1</v>
      </c>
      <c r="D73" s="79" t="str">
        <f>VLOOKUP($D$59,$C$67:$J$69,C75+1,FALSE)</f>
        <v>-</v>
      </c>
      <c r="E73" s="71" t="s">
        <v>156</v>
      </c>
      <c r="F73" s="34"/>
      <c r="G73" s="79">
        <v>1</v>
      </c>
      <c r="H73" s="73" t="s">
        <v>181</v>
      </c>
      <c r="I73" s="265" t="s">
        <v>162</v>
      </c>
      <c r="J73" s="34"/>
      <c r="K73" s="34"/>
      <c r="L73" s="310"/>
      <c r="O73" s="315"/>
      <c r="P73" s="307"/>
      <c r="Q73" s="306"/>
      <c r="R73" s="306"/>
      <c r="S73" s="306"/>
      <c r="T73" s="306"/>
      <c r="U73" s="306"/>
      <c r="V73" s="306"/>
      <c r="W73" s="306"/>
      <c r="X73" s="306"/>
      <c r="Y73" s="306"/>
      <c r="Z73" s="306"/>
      <c r="AA73" s="316"/>
      <c r="AP73" s="755">
        <v>0.67</v>
      </c>
    </row>
    <row r="74" spans="2:42" ht="26.25">
      <c r="B74" s="309"/>
      <c r="C74" s="67">
        <v>2</v>
      </c>
      <c r="D74" s="67" t="str">
        <f>VLOOKUP($D$59,$C$67:$J$69,C76+1,FALSE)</f>
        <v>F-Feet Kit</v>
      </c>
      <c r="E74" s="68" t="s">
        <v>161</v>
      </c>
      <c r="F74" s="34"/>
      <c r="G74" s="76">
        <v>2</v>
      </c>
      <c r="H74" s="67" t="s">
        <v>179</v>
      </c>
      <c r="I74" s="69" t="s">
        <v>162</v>
      </c>
      <c r="J74" s="34"/>
      <c r="K74" s="34"/>
      <c r="L74" s="310"/>
      <c r="O74" s="309"/>
      <c r="P74" s="348" t="s">
        <v>466</v>
      </c>
      <c r="Q74" s="34"/>
      <c r="R74" s="34"/>
      <c r="S74" s="34"/>
      <c r="T74" s="34"/>
      <c r="U74" s="34"/>
      <c r="V74" s="34"/>
      <c r="W74" s="34"/>
      <c r="X74" s="1003" t="s">
        <v>234</v>
      </c>
      <c r="Y74" s="1005"/>
      <c r="Z74" s="34"/>
      <c r="AA74" s="310"/>
      <c r="AP74" s="176">
        <v>0.66</v>
      </c>
    </row>
    <row r="75" spans="2:42">
      <c r="B75" s="309"/>
      <c r="C75" s="67">
        <v>3</v>
      </c>
      <c r="D75" s="67" t="str">
        <f>VLOOKUP($D$59,$C$67:$J$69,C77+1,FALSE)</f>
        <v>M-Trunnion (movable)</v>
      </c>
      <c r="E75" s="69" t="s">
        <v>162</v>
      </c>
      <c r="F75" s="58"/>
      <c r="G75" s="76">
        <v>3</v>
      </c>
      <c r="H75" s="67" t="s">
        <v>180</v>
      </c>
      <c r="I75" s="69" t="s">
        <v>162</v>
      </c>
      <c r="J75" s="34"/>
      <c r="K75" s="34"/>
      <c r="L75" s="310"/>
      <c r="O75" s="309"/>
      <c r="P75" s="34"/>
      <c r="Q75" s="34"/>
      <c r="R75" s="34"/>
      <c r="S75" s="34"/>
      <c r="T75" s="34"/>
      <c r="U75" s="34"/>
      <c r="V75" s="34"/>
      <c r="W75" s="75">
        <v>1</v>
      </c>
      <c r="X75" s="76" t="s">
        <v>165</v>
      </c>
      <c r="Y75" s="90" t="str">
        <f ca="1">IF(AND($J$150=1,B150&lt;=14,$E$83&lt;&gt;2),LOOKUP($B$209,$R$209:$R$246,$N$209:$N$246),IF($C$90="NT23",127,""))</f>
        <v>004</v>
      </c>
      <c r="Z75" s="34"/>
      <c r="AA75" s="310"/>
      <c r="AP75" s="755">
        <v>0.65</v>
      </c>
    </row>
    <row r="76" spans="2:42">
      <c r="B76" s="309"/>
      <c r="C76" s="67">
        <v>4</v>
      </c>
      <c r="D76" s="67" t="str">
        <f>VLOOKUP($D$59,$C$67:$J$69,C79+1,FALSE)</f>
        <v>P-Front mounting plate</v>
      </c>
      <c r="E76" s="69" t="s">
        <v>162</v>
      </c>
      <c r="F76" s="34"/>
      <c r="G76" s="77">
        <v>4</v>
      </c>
      <c r="H76" s="72" t="s">
        <v>178</v>
      </c>
      <c r="I76" s="70" t="s">
        <v>162</v>
      </c>
      <c r="J76" s="34"/>
      <c r="K76" s="34"/>
      <c r="L76" s="310"/>
      <c r="O76" s="338" t="s">
        <v>434</v>
      </c>
      <c r="P76" s="289" t="s">
        <v>442</v>
      </c>
      <c r="Q76" s="289" t="s">
        <v>443</v>
      </c>
      <c r="R76" s="289" t="s">
        <v>444</v>
      </c>
      <c r="S76" s="34"/>
      <c r="T76" s="34"/>
      <c r="U76" s="34"/>
      <c r="V76" s="34"/>
      <c r="W76" s="76">
        <v>2</v>
      </c>
      <c r="X76" s="76" t="s">
        <v>231</v>
      </c>
      <c r="Y76" s="102" t="str">
        <f ca="1">IF($J$150=2,LOOKUP($B$150,$N$357:$N$380,$U$357:$U$380),"xxx")</f>
        <v>xxx</v>
      </c>
      <c r="Z76" s="34"/>
      <c r="AA76" s="310"/>
      <c r="AP76" s="176">
        <v>0.64</v>
      </c>
    </row>
    <row r="77" spans="2:42">
      <c r="B77" s="309"/>
      <c r="C77" s="67">
        <v>5</v>
      </c>
      <c r="D77" s="67" t="str">
        <f>VLOOKUP($D$59,$C$67:$J$69,C74+1,FALSE)</f>
        <v>-</v>
      </c>
      <c r="E77" s="68" t="s">
        <v>156</v>
      </c>
      <c r="F77" s="34"/>
      <c r="G77" s="34"/>
      <c r="H77" s="34"/>
      <c r="I77" s="34"/>
      <c r="J77" s="34"/>
      <c r="K77" s="34"/>
      <c r="L77" s="310"/>
      <c r="O77" s="338" t="str">
        <f ca="1">$C$150</f>
        <v>AKM22E</v>
      </c>
      <c r="P77" s="289" t="str">
        <f ca="1">$K$170</f>
        <v>240</v>
      </c>
      <c r="Q77" s="289" t="str">
        <f>$D$59</f>
        <v>LX-In Line</v>
      </c>
      <c r="R77" s="289" t="str">
        <f>$E$84</f>
        <v>No Gear</v>
      </c>
      <c r="S77" s="34"/>
      <c r="T77" s="34"/>
      <c r="U77" s="34"/>
      <c r="V77" s="34"/>
      <c r="W77" s="77">
        <v>3</v>
      </c>
      <c r="X77" s="135" t="s">
        <v>166</v>
      </c>
      <c r="Y77" s="102" t="str">
        <f ca="1" xml:space="preserve"> IF(AND($J$150=3,$B$150&lt;=2),LOOKUP(B378,B379:B380,I379:I380),"xxx")</f>
        <v>xxx</v>
      </c>
      <c r="Z77" s="34"/>
      <c r="AA77" s="310"/>
      <c r="AP77" s="755">
        <v>0.63</v>
      </c>
    </row>
    <row r="78" spans="2:42">
      <c r="B78" s="309"/>
      <c r="C78" s="67">
        <v>6</v>
      </c>
      <c r="D78" s="67" t="str">
        <f>VLOOKUP($D$59,$C$67:$J$69,C78+1,FALSE)</f>
        <v>T-Front trunnion (fixed on to housing)</v>
      </c>
      <c r="E78" s="69" t="s">
        <v>162</v>
      </c>
      <c r="F78" s="34"/>
      <c r="G78" s="34"/>
      <c r="H78" s="34"/>
      <c r="I78" s="34"/>
      <c r="J78" s="34"/>
      <c r="K78" s="34"/>
      <c r="L78" s="310"/>
      <c r="O78" s="309"/>
      <c r="P78" s="104" t="s">
        <v>449</v>
      </c>
      <c r="Q78" s="126" t="s">
        <v>450</v>
      </c>
      <c r="R78" s="102"/>
      <c r="S78" s="34"/>
      <c r="T78" s="34"/>
      <c r="U78" s="34"/>
      <c r="V78" s="34"/>
      <c r="W78" s="34"/>
      <c r="X78" s="34"/>
      <c r="Y78" s="34"/>
      <c r="Z78" s="34"/>
      <c r="AA78" s="310"/>
      <c r="AP78" s="176">
        <v>0.62</v>
      </c>
    </row>
    <row r="79" spans="2:42">
      <c r="B79" s="309"/>
      <c r="C79" s="77">
        <v>7</v>
      </c>
      <c r="D79" s="67" t="str">
        <f>VLOOKUP($D$59,$C$67:$J$69,C73+1,FALSE)</f>
        <v>X-Without cylinder mounting</v>
      </c>
      <c r="E79" s="70" t="s">
        <v>162</v>
      </c>
      <c r="F79" s="34"/>
      <c r="G79" s="34"/>
      <c r="H79" s="34"/>
      <c r="I79" s="34"/>
      <c r="J79" s="34"/>
      <c r="K79" s="34"/>
      <c r="L79" s="310"/>
      <c r="O79" s="309" t="s">
        <v>436</v>
      </c>
      <c r="P79" s="104" t="s">
        <v>370</v>
      </c>
      <c r="Q79" s="126" t="s">
        <v>372</v>
      </c>
      <c r="R79" s="102" t="s">
        <v>373</v>
      </c>
      <c r="S79" s="34" t="s">
        <v>445</v>
      </c>
      <c r="T79" s="34" t="s">
        <v>446</v>
      </c>
      <c r="U79" s="34"/>
      <c r="V79" s="34"/>
      <c r="W79" s="34"/>
      <c r="X79" s="34"/>
      <c r="Y79" s="34"/>
      <c r="Z79" s="34"/>
      <c r="AA79" s="310"/>
      <c r="AP79" s="755">
        <v>0.61</v>
      </c>
    </row>
    <row r="80" spans="2:42">
      <c r="B80" s="309"/>
      <c r="C80" s="34"/>
      <c r="D80" s="73"/>
      <c r="E80" s="34"/>
      <c r="F80" s="34"/>
      <c r="G80" s="34"/>
      <c r="H80" s="34"/>
      <c r="I80" s="34"/>
      <c r="J80" s="34"/>
      <c r="K80" s="34"/>
      <c r="L80" s="310"/>
      <c r="O80" s="309" t="s">
        <v>432</v>
      </c>
      <c r="P80" s="79">
        <f>IF($C$59=3,1,0)</f>
        <v>0</v>
      </c>
      <c r="Q80" s="73">
        <f>IF($C$59=3,1,0)</f>
        <v>0</v>
      </c>
      <c r="R80" s="71">
        <f>IF($C$59=3,1,0)</f>
        <v>0</v>
      </c>
      <c r="S80" s="34" t="s">
        <v>447</v>
      </c>
      <c r="T80" s="34" t="s">
        <v>448</v>
      </c>
      <c r="U80" s="34"/>
      <c r="V80" s="34"/>
      <c r="W80" s="34"/>
      <c r="X80" s="34"/>
      <c r="Y80" s="34"/>
      <c r="Z80" s="34"/>
      <c r="AA80" s="310"/>
      <c r="AP80" s="176">
        <v>0.6</v>
      </c>
    </row>
    <row r="81" spans="2:44">
      <c r="B81" s="309"/>
      <c r="C81" s="34"/>
      <c r="D81" s="34"/>
      <c r="E81" s="34"/>
      <c r="F81" s="34"/>
      <c r="G81" s="34"/>
      <c r="H81" s="34"/>
      <c r="I81" s="34"/>
      <c r="J81" s="34"/>
      <c r="K81" s="34"/>
      <c r="L81" s="310"/>
      <c r="O81" s="339" t="s">
        <v>435</v>
      </c>
      <c r="P81" s="67"/>
      <c r="Q81" s="34"/>
      <c r="R81" s="68"/>
      <c r="S81" s="34"/>
      <c r="T81" s="34"/>
      <c r="U81" s="152" t="s">
        <v>427</v>
      </c>
      <c r="V81" s="34"/>
      <c r="W81" s="277" t="s">
        <v>420</v>
      </c>
      <c r="X81" s="996" t="s">
        <v>257</v>
      </c>
      <c r="Y81" s="997"/>
      <c r="Z81" s="998"/>
      <c r="AA81" s="310"/>
      <c r="AP81" s="755">
        <v>0.59</v>
      </c>
    </row>
    <row r="82" spans="2:44">
      <c r="B82" s="309"/>
      <c r="C82" s="269" t="s">
        <v>394</v>
      </c>
      <c r="D82" s="105" t="s">
        <v>395</v>
      </c>
      <c r="E82" s="270" t="s">
        <v>254</v>
      </c>
      <c r="F82" s="34"/>
      <c r="G82" s="34"/>
      <c r="H82" s="34"/>
      <c r="I82" s="34"/>
      <c r="J82" s="34"/>
      <c r="K82" s="34"/>
      <c r="L82" s="310"/>
      <c r="O82" s="309" t="s">
        <v>440</v>
      </c>
      <c r="P82" s="67">
        <f ca="1">IF(AND($J$150=1,$J$170&lt;3,$B$150&gt;7,$C$59=1,$E$83=3),1,0)</f>
        <v>0</v>
      </c>
      <c r="Q82" s="34"/>
      <c r="R82" s="68"/>
      <c r="S82" s="34" t="s">
        <v>459</v>
      </c>
      <c r="T82" s="34" t="s">
        <v>451</v>
      </c>
      <c r="U82" s="298" t="s">
        <v>428</v>
      </c>
      <c r="V82" s="34"/>
      <c r="W82" s="75"/>
      <c r="X82" s="129" t="s">
        <v>258</v>
      </c>
      <c r="Y82" s="129" t="s">
        <v>418</v>
      </c>
      <c r="Z82" s="370" t="s">
        <v>419</v>
      </c>
      <c r="AA82" s="310"/>
      <c r="AP82" s="176">
        <v>0.57999999999999996</v>
      </c>
    </row>
    <row r="83" spans="2:44">
      <c r="B83" s="309"/>
      <c r="C83" s="267" t="s">
        <v>396</v>
      </c>
      <c r="D83" s="34">
        <v>1</v>
      </c>
      <c r="E83" s="271">
        <f>LOOKUP(Input!H21,Data!C83:C85,Data!D83:D85)</f>
        <v>3</v>
      </c>
      <c r="F83" s="34"/>
      <c r="G83" s="34"/>
      <c r="H83" s="34"/>
      <c r="I83" s="34"/>
      <c r="J83" s="34"/>
      <c r="K83" s="34"/>
      <c r="L83" s="310"/>
      <c r="O83" s="309" t="s">
        <v>441</v>
      </c>
      <c r="P83" s="67">
        <f ca="1">IF(AND($J$150=1,$J$170=3,$B$150&gt;3,$C$59=1,$E$83=3),1,0)</f>
        <v>0</v>
      </c>
      <c r="Q83" s="34"/>
      <c r="R83" s="68"/>
      <c r="S83" s="34" t="s">
        <v>459</v>
      </c>
      <c r="T83" s="34" t="s">
        <v>451</v>
      </c>
      <c r="U83" s="34" t="s">
        <v>429</v>
      </c>
      <c r="V83" s="34"/>
      <c r="W83" s="271" t="s">
        <v>258</v>
      </c>
      <c r="X83" s="895" t="str">
        <f t="shared" ref="X83:X89" si="11">IF(IF(X7&lt;Y7,X7,Y7)&gt;100000,"&gt;100 000",IF(X7&lt;Y7,X7,Y7))</f>
        <v>&gt;100 000</v>
      </c>
      <c r="Y83" s="368" t="str">
        <f t="shared" ref="Y83:Y89" si="12">IF(AH7&gt;50,"&gt;50",AH7)</f>
        <v>&gt;50</v>
      </c>
      <c r="Z83" s="369" t="str">
        <f t="shared" ref="Z83:Z89" si="13">IF(Z7*3600/$M$25*$M$28/2/1000000&gt;200,"&gt; 200",Z7*3600/$M$25*$M$28/2/1000000)</f>
        <v>&gt; 200</v>
      </c>
      <c r="AA83" s="310"/>
      <c r="AP83" s="755">
        <v>0.56999999999999995</v>
      </c>
    </row>
    <row r="84" spans="2:44">
      <c r="B84" s="309"/>
      <c r="C84" s="267" t="s">
        <v>288</v>
      </c>
      <c r="D84" s="34">
        <v>2</v>
      </c>
      <c r="E84" s="272" t="str">
        <f>Input!$H$21</f>
        <v>No Gear</v>
      </c>
      <c r="F84" s="34"/>
      <c r="G84" s="34"/>
      <c r="H84" s="34"/>
      <c r="I84" s="34"/>
      <c r="J84" s="34"/>
      <c r="K84" s="34"/>
      <c r="L84" s="310"/>
      <c r="O84" s="339" t="s">
        <v>439</v>
      </c>
      <c r="P84" s="67"/>
      <c r="Q84" s="34"/>
      <c r="R84" s="68"/>
      <c r="S84" s="34"/>
      <c r="T84" s="185"/>
      <c r="U84" s="34"/>
      <c r="V84" s="34"/>
      <c r="W84" s="76" t="s">
        <v>41</v>
      </c>
      <c r="X84" s="895" t="str">
        <f t="shared" si="11"/>
        <v>&gt;100 000</v>
      </c>
      <c r="Y84" s="368" t="str">
        <f t="shared" si="12"/>
        <v>&gt;50</v>
      </c>
      <c r="Z84" s="369" t="str">
        <f t="shared" si="13"/>
        <v>&gt; 200</v>
      </c>
      <c r="AA84" s="310"/>
      <c r="AP84" s="176">
        <v>0.56000000000000005</v>
      </c>
    </row>
    <row r="85" spans="2:44">
      <c r="B85" s="309"/>
      <c r="C85" s="268" t="s">
        <v>398</v>
      </c>
      <c r="D85" s="89">
        <v>3</v>
      </c>
      <c r="E85" s="273"/>
      <c r="F85" s="34"/>
      <c r="G85" s="34"/>
      <c r="H85" s="34"/>
      <c r="I85" s="34"/>
      <c r="J85" s="34"/>
      <c r="K85" s="34"/>
      <c r="L85" s="310"/>
      <c r="O85" s="309" t="s">
        <v>440</v>
      </c>
      <c r="P85" s="67">
        <f ca="1">IF(AND($J$150=1,$J$170&lt;3,$B$150&gt;7,$C$59=2),1,0)</f>
        <v>0</v>
      </c>
      <c r="Q85" s="34">
        <f ca="1">IF(AND($J$150=1,$C$59=2,$J$170&lt;3,$B$150&gt;10),1,0)</f>
        <v>0</v>
      </c>
      <c r="R85" s="68"/>
      <c r="S85" s="34" t="s">
        <v>459</v>
      </c>
      <c r="T85" s="34" t="s">
        <v>451</v>
      </c>
      <c r="U85" s="152" t="s">
        <v>430</v>
      </c>
      <c r="V85" s="34"/>
      <c r="W85" s="278" t="s">
        <v>421</v>
      </c>
      <c r="X85" s="895" t="str">
        <f t="shared" si="11"/>
        <v>&gt;100 000</v>
      </c>
      <c r="Y85" s="368" t="str">
        <f t="shared" si="12"/>
        <v>&gt;50</v>
      </c>
      <c r="Z85" s="369" t="str">
        <f t="shared" si="13"/>
        <v>&gt; 200</v>
      </c>
      <c r="AA85" s="310"/>
      <c r="AP85" s="755">
        <v>0.55000000000000004</v>
      </c>
    </row>
    <row r="86" spans="2:44" ht="15.75" thickBot="1">
      <c r="B86" s="309"/>
      <c r="C86" s="34"/>
      <c r="D86" s="34"/>
      <c r="E86" s="34"/>
      <c r="F86" s="34"/>
      <c r="G86" s="34"/>
      <c r="H86" s="34"/>
      <c r="I86" s="34"/>
      <c r="J86" s="34"/>
      <c r="K86" s="34"/>
      <c r="L86" s="310"/>
      <c r="O86" s="309" t="s">
        <v>441</v>
      </c>
      <c r="P86" s="67">
        <f ca="1">IF(AND($J$150=1,$J$170=3,$B$150&gt;3,$C$59=2),1,0)</f>
        <v>0</v>
      </c>
      <c r="Q86" s="34">
        <f ca="1">IF(AND($J$150=1,$C$59=2,$J$170=3,$B$150&gt;6),1,0)</f>
        <v>0</v>
      </c>
      <c r="R86" s="68"/>
      <c r="S86" s="34" t="s">
        <v>459</v>
      </c>
      <c r="T86" s="34" t="s">
        <v>451</v>
      </c>
      <c r="U86" s="34" t="s">
        <v>431</v>
      </c>
      <c r="V86" s="34"/>
      <c r="W86" s="76"/>
      <c r="X86" s="895" t="str">
        <f t="shared" si="11"/>
        <v>&gt;100 000</v>
      </c>
      <c r="Y86" s="368" t="str">
        <f t="shared" si="12"/>
        <v>&gt;50</v>
      </c>
      <c r="Z86" s="369" t="str">
        <f t="shared" si="13"/>
        <v>&gt; 200</v>
      </c>
      <c r="AA86" s="310"/>
      <c r="AP86" s="176">
        <v>0.54</v>
      </c>
    </row>
    <row r="87" spans="2:44">
      <c r="B87" s="305"/>
      <c r="C87" s="322" t="s">
        <v>263</v>
      </c>
      <c r="D87" s="323"/>
      <c r="E87" s="306"/>
      <c r="F87" s="306"/>
      <c r="G87" s="306"/>
      <c r="H87" s="324" t="s">
        <v>314</v>
      </c>
      <c r="I87" s="306"/>
      <c r="J87" s="306"/>
      <c r="K87" s="306"/>
      <c r="L87" s="316"/>
      <c r="O87" s="339" t="s">
        <v>456</v>
      </c>
      <c r="P87" s="104">
        <f ca="1">SUM(P80:P86)</f>
        <v>0</v>
      </c>
      <c r="Q87" s="126">
        <f t="shared" ref="Q87:R87" ca="1" si="14">SUM(Q80:Q86)</f>
        <v>0</v>
      </c>
      <c r="R87" s="102">
        <f t="shared" si="14"/>
        <v>0</v>
      </c>
      <c r="S87" s="34"/>
      <c r="T87" s="34"/>
      <c r="U87" s="34" t="s">
        <v>428</v>
      </c>
      <c r="V87" s="34"/>
      <c r="W87" s="239"/>
      <c r="X87" s="895" t="str">
        <f t="shared" si="11"/>
        <v>&gt;100 000</v>
      </c>
      <c r="Y87" s="368" t="str">
        <f t="shared" si="12"/>
        <v>&gt;50</v>
      </c>
      <c r="Z87" s="369" t="str">
        <f t="shared" si="13"/>
        <v>&gt; 200</v>
      </c>
      <c r="AA87" s="310"/>
      <c r="AP87" s="755">
        <v>0.53</v>
      </c>
    </row>
    <row r="88" spans="2:44">
      <c r="B88" s="309"/>
      <c r="C88" s="794" t="s">
        <v>254</v>
      </c>
      <c r="D88" s="795"/>
      <c r="E88" s="795"/>
      <c r="F88" s="795"/>
      <c r="G88" s="796"/>
      <c r="H88" s="75"/>
      <c r="I88" s="34"/>
      <c r="J88" s="34"/>
      <c r="K88" s="34"/>
      <c r="L88" s="310"/>
      <c r="O88" s="309"/>
      <c r="P88" s="67"/>
      <c r="Q88" s="34"/>
      <c r="R88" s="68"/>
      <c r="S88" s="34"/>
      <c r="T88" s="34"/>
      <c r="U88" s="34"/>
      <c r="V88" s="34"/>
      <c r="W88" s="239"/>
      <c r="X88" s="895" t="str">
        <f t="shared" si="11"/>
        <v>&gt;100 000</v>
      </c>
      <c r="Y88" s="368" t="str">
        <f t="shared" si="12"/>
        <v>&gt;50</v>
      </c>
      <c r="Z88" s="369" t="str">
        <f t="shared" si="13"/>
        <v>&gt; 200</v>
      </c>
      <c r="AA88" s="310"/>
      <c r="AP88" s="176">
        <v>0.52</v>
      </c>
      <c r="AQ88" s="115"/>
      <c r="AR88" s="115"/>
    </row>
    <row r="89" spans="2:44">
      <c r="B89" s="812"/>
      <c r="C89" s="128" t="s">
        <v>285</v>
      </c>
      <c r="D89" s="130" t="s">
        <v>77</v>
      </c>
      <c r="E89" s="130" t="s">
        <v>158</v>
      </c>
      <c r="F89" s="130" t="s">
        <v>79</v>
      </c>
      <c r="G89" s="171" t="s">
        <v>78</v>
      </c>
      <c r="H89" s="90" t="s">
        <v>299</v>
      </c>
      <c r="I89" s="34"/>
      <c r="J89" s="34"/>
      <c r="K89" s="34"/>
      <c r="L89" s="310"/>
      <c r="O89" s="309" t="s">
        <v>437</v>
      </c>
      <c r="P89" s="72">
        <f ca="1">IF(AND($E$83=2,$J$150=4),1,0)</f>
        <v>0</v>
      </c>
      <c r="Q89" s="89">
        <f ca="1">IF(AND($E$83=2,$J$150=4),1,0)</f>
        <v>0</v>
      </c>
      <c r="R89" s="90">
        <f ca="1">IF(AND($E$83=2,$J$150=4),1,0)</f>
        <v>0</v>
      </c>
      <c r="S89" s="34">
        <v>127</v>
      </c>
      <c r="T89" s="185" t="s">
        <v>194</v>
      </c>
      <c r="U89" s="34"/>
      <c r="V89" s="34"/>
      <c r="W89" s="239"/>
      <c r="X89" s="895" t="str">
        <f t="shared" si="11"/>
        <v>&gt;100 000</v>
      </c>
      <c r="Y89" s="368" t="str">
        <f t="shared" si="12"/>
        <v>&gt;50</v>
      </c>
      <c r="Z89" s="369" t="str">
        <f t="shared" si="13"/>
        <v>&gt; 200</v>
      </c>
      <c r="AA89" s="310"/>
      <c r="AP89" s="755">
        <v>0.51</v>
      </c>
      <c r="AQ89" s="115"/>
      <c r="AR89" s="115"/>
    </row>
    <row r="90" spans="2:44">
      <c r="B90" s="812"/>
      <c r="C90" s="156">
        <f>IF($E$83=2,Input!I22,0)</f>
        <v>0</v>
      </c>
      <c r="D90" s="172">
        <f>IF($E$83=2,Input!I23,1)</f>
        <v>1</v>
      </c>
      <c r="E90" s="87">
        <f>IF(AND(E83=2,$C$90="NT23"),VLOOKUP($D$90,$D$94:$K$98,6,FALSE),0)</f>
        <v>0</v>
      </c>
      <c r="F90" s="87">
        <f>IF(AND($E$83=2,$C$90="NT23"),VLOOKUP($D$90,$D$94:$K$98,7,FALSE),0)</f>
        <v>0</v>
      </c>
      <c r="G90" s="88">
        <f>IF(AND($E$83=2,$C$90="NT23"),VLOOKUP($D$90,$D$94:$K$98,8,FALSE),1)</f>
        <v>1</v>
      </c>
      <c r="H90" s="157" t="s">
        <v>315</v>
      </c>
      <c r="I90" s="34"/>
      <c r="J90" s="34"/>
      <c r="K90" s="34"/>
      <c r="L90" s="310"/>
      <c r="O90" s="309" t="s">
        <v>438</v>
      </c>
      <c r="P90" s="72">
        <f ca="1">IF(OR($E$83=1,$J$150=4),1,0)</f>
        <v>0</v>
      </c>
      <c r="Q90" s="89">
        <f ca="1">IF(OR($E$83=1,$J$150=4),1,0)</f>
        <v>0</v>
      </c>
      <c r="R90" s="90">
        <f ca="1">IF(OR($E$83=1,$J$150=4),1,0)</f>
        <v>0</v>
      </c>
      <c r="S90" s="34" t="s">
        <v>452</v>
      </c>
      <c r="T90" s="34">
        <v>999</v>
      </c>
      <c r="U90" s="34"/>
      <c r="V90" s="34"/>
      <c r="W90" s="243"/>
      <c r="X90" s="89"/>
      <c r="Y90" s="89"/>
      <c r="Z90" s="90"/>
      <c r="AA90" s="310"/>
      <c r="AP90" s="176">
        <v>0.5</v>
      </c>
      <c r="AQ90" s="115"/>
      <c r="AR90" s="115"/>
    </row>
    <row r="91" spans="2:44">
      <c r="B91" s="812"/>
      <c r="C91" s="277" t="s">
        <v>286</v>
      </c>
      <c r="D91" s="155" t="b">
        <v>0</v>
      </c>
      <c r="E91" s="72"/>
      <c r="F91" s="89"/>
      <c r="G91" s="90"/>
      <c r="H91" s="34"/>
      <c r="I91" s="34"/>
      <c r="J91" s="34"/>
      <c r="K91" s="34"/>
      <c r="L91" s="310"/>
      <c r="O91" s="340" t="s">
        <v>453</v>
      </c>
      <c r="P91" s="126">
        <f ca="1">SUM(P89:P90)</f>
        <v>0</v>
      </c>
      <c r="Q91" s="126">
        <f ca="1">SUM(Q89:Q90)</f>
        <v>0</v>
      </c>
      <c r="R91" s="102">
        <f ca="1">SUM(R89:R90)</f>
        <v>0</v>
      </c>
      <c r="S91" s="34"/>
      <c r="T91" s="34"/>
      <c r="U91" s="34"/>
      <c r="V91" s="34"/>
      <c r="W91" s="34"/>
      <c r="X91" s="34"/>
      <c r="Y91" s="34"/>
      <c r="Z91" s="34"/>
      <c r="AA91" s="310"/>
      <c r="AP91" s="755">
        <v>0.49</v>
      </c>
      <c r="AQ91" s="115"/>
      <c r="AR91" s="115"/>
    </row>
    <row r="92" spans="2:44" ht="15.75">
      <c r="B92" s="812"/>
      <c r="C92" s="277" t="s">
        <v>299</v>
      </c>
      <c r="D92" s="34"/>
      <c r="E92" s="803" t="s">
        <v>265</v>
      </c>
      <c r="F92" s="804"/>
      <c r="G92" s="804"/>
      <c r="H92" s="805"/>
      <c r="I92" s="63"/>
      <c r="J92" s="34"/>
      <c r="K92" s="34"/>
      <c r="L92" s="310"/>
      <c r="O92" s="309" t="s">
        <v>454</v>
      </c>
      <c r="P92" s="34" t="str">
        <f ca="1">VLOOKUP($J$150,$W$75:$Y$77,3,FALSE)</f>
        <v>004</v>
      </c>
      <c r="Q92" s="34" t="str">
        <f ca="1">VLOOKUP($J$150,$W$75:$Y$77,3,FALSE)</f>
        <v>004</v>
      </c>
      <c r="R92" s="34" t="str">
        <f ca="1">VLOOKUP($J$150,$W$75:$Y$77,3,FALSE)</f>
        <v>004</v>
      </c>
      <c r="S92" s="34"/>
      <c r="T92" s="34"/>
      <c r="U92" s="34"/>
      <c r="V92" s="34"/>
      <c r="W92" s="79"/>
      <c r="X92" s="130" t="s">
        <v>219</v>
      </c>
      <c r="Y92" s="71"/>
      <c r="Z92" s="34"/>
      <c r="AA92" s="310"/>
      <c r="AP92" s="176">
        <v>0.48</v>
      </c>
    </row>
    <row r="93" spans="2:44">
      <c r="B93" s="812"/>
      <c r="C93" s="128" t="s">
        <v>274</v>
      </c>
      <c r="D93" s="152" t="s">
        <v>77</v>
      </c>
      <c r="E93" s="152">
        <v>1000</v>
      </c>
      <c r="F93" s="152">
        <v>2000</v>
      </c>
      <c r="G93" s="152">
        <v>3000</v>
      </c>
      <c r="H93" s="152">
        <v>4000</v>
      </c>
      <c r="I93" s="152" t="s">
        <v>158</v>
      </c>
      <c r="J93" s="152" t="s">
        <v>79</v>
      </c>
      <c r="K93" s="152" t="s">
        <v>78</v>
      </c>
      <c r="L93" s="325" t="s">
        <v>313</v>
      </c>
      <c r="O93" s="309"/>
      <c r="P93" s="34"/>
      <c r="Q93" s="34"/>
      <c r="R93" s="34"/>
      <c r="S93" s="34"/>
      <c r="T93" s="34"/>
      <c r="U93" s="34"/>
      <c r="V93" s="34"/>
      <c r="W93" s="128">
        <v>1</v>
      </c>
      <c r="X93" s="34" t="str">
        <f ca="1">IF($C$59=3,CONCATENATE(P104,Q104,R104,"XXX",T104,U104,V104,W104,X104),IF(AND(Input!J49="OK",V104&lt;&gt;"-",LEFT(S104,1)&lt;&gt;"N",$E$83&lt;&gt;1,$J$150&lt;&gt;4),CONCATENATE(P104,Q104,R104,S104,T104,U104,V104,W104,X104),IF(AND($E$83=2,$J$150=4,$C$59&lt;&gt;3),CONCATENATE(P104,Q104,R104,Y75,T104,U104,V104,W104,X104),IF(OR($E$83=1,$J$150=4),CONCATENATE(P104,Q104,R104,"999",T104,U104,V104,W104,X104),CONCATENATE(P104,Q104,R104,"xxx",T104,U104,V104,W104,X104)))))</f>
        <v>PC25LX004B03-01FC1</v>
      </c>
      <c r="Y93" s="68"/>
      <c r="Z93" s="34"/>
      <c r="AA93" s="310"/>
      <c r="AP93" s="755">
        <v>0.47</v>
      </c>
    </row>
    <row r="94" spans="2:44">
      <c r="B94" s="812"/>
      <c r="C94" s="67" t="s">
        <v>300</v>
      </c>
      <c r="D94" s="160">
        <v>3</v>
      </c>
      <c r="E94" s="158">
        <v>11.1</v>
      </c>
      <c r="F94" s="158">
        <v>9</v>
      </c>
      <c r="G94" s="158">
        <v>7.9</v>
      </c>
      <c r="H94" s="157">
        <v>7.3</v>
      </c>
      <c r="I94" s="157">
        <v>1E-3</v>
      </c>
      <c r="J94" s="157">
        <v>7.5999999999999998E-2</v>
      </c>
      <c r="K94" s="169">
        <v>0.93</v>
      </c>
      <c r="L94" s="326">
        <v>127</v>
      </c>
      <c r="O94" s="309"/>
      <c r="P94" s="34"/>
      <c r="Q94" s="34"/>
      <c r="R94" s="34"/>
      <c r="S94" s="34"/>
      <c r="T94" s="34"/>
      <c r="U94" s="34"/>
      <c r="V94" s="34"/>
      <c r="W94" s="128">
        <v>2</v>
      </c>
      <c r="X94" s="34" t="str">
        <f ca="1">IF($C$59=3,CONCATENATE(P105,Q105,R105,"XXX",T105,U105,V105,W105,X105),IF(AND(Input!J49="OK",V105&lt;&gt;"-",LEFT(S105,1)&lt;&gt;"N",$E$83&lt;&gt;1,$J$150&lt;&gt;4),CONCATENATE(P105,Q105,R105,S105,T105,U105,V105,W105,X105),IF(AND($E$83=2,$J$150=4,$C$59&lt;&gt;3),CONCATENATE(P105,Q105,R105,Y75,T105,U105,V105,W105,X105),IF(AND(Input!J50="OK",V105&lt;&gt;"-",LEFT(S105,1)&lt;&gt;"N",$E$83&lt;&gt;1,$J$150&lt;&gt;4),CONCATENATE(P105,Q105,R105,S105,T105,U105,V105,W105,X105),IF(AND($E$83=2,$J$150=4,$C$59&lt;&gt;3),CONCATENATE(P105,Q105,R105,$Y$75,T105,U105,V105,W105,X105),IF(OR($E$83=1,$J$150=4),CONCATENATE(P105,Q105,R105,"999",T105,U105,V105,W105,X105),CONCATENATE(P105,Q105,R105,"xxx",T105,U105,V105,W105,X105)))))))</f>
        <v>PC25LX004B10-01FC1</v>
      </c>
      <c r="Y94" s="68"/>
      <c r="Z94" s="34"/>
      <c r="AA94" s="310"/>
      <c r="AP94" s="176">
        <v>0.46</v>
      </c>
    </row>
    <row r="95" spans="2:44">
      <c r="B95" s="812"/>
      <c r="C95" s="67" t="s">
        <v>307</v>
      </c>
      <c r="D95" s="161">
        <v>5</v>
      </c>
      <c r="E95" s="158">
        <v>11.9</v>
      </c>
      <c r="F95" s="158">
        <v>9.9</v>
      </c>
      <c r="G95" s="158">
        <v>8.8000000000000007</v>
      </c>
      <c r="H95" s="157">
        <v>8</v>
      </c>
      <c r="I95" s="157">
        <v>1E-3</v>
      </c>
      <c r="J95" s="157">
        <v>2.5000000000000001E-2</v>
      </c>
      <c r="K95" s="169">
        <v>0.93</v>
      </c>
      <c r="L95" s="326">
        <v>127</v>
      </c>
      <c r="O95" s="309"/>
      <c r="P95" s="34" t="str">
        <f ca="1">IF($P$87&lt;&gt;0,VLOOKUP(1,$P$80:$T$86,5,FALSE),IF($R$91&lt;&gt;0,VLOOKUP(1,$P$89:$T$90,5,FALSE),$P$92))</f>
        <v>004</v>
      </c>
      <c r="Q95" s="34"/>
      <c r="R95" s="34"/>
      <c r="S95" s="34"/>
      <c r="T95" s="34"/>
      <c r="U95" s="34"/>
      <c r="V95" s="34"/>
      <c r="W95" s="128">
        <v>3</v>
      </c>
      <c r="X95" s="34" t="str">
        <f ca="1">IF($C$59=3,CONCATENATE(P106,Q106,R106,"XXX",T106,U106,V106,W106,X106),IF(AND(Input!J49="OK",V106&lt;&gt;"-",LEFT(S106,1)&lt;&gt;"N",$E$83&lt;&gt;1,$J$150&lt;&gt;4),CONCATENATE(P106,Q106,R106,S106,T106,U106,V106,W106,X106),IF(AND($E$83=2,$J$150=4,$C$59&lt;&gt;3),CONCATENATE(P106,Q106,R106,Y75,T106,U106,V106,W106,X106),IF(AND(Input!J51="OK",V106&lt;&gt;"-",$C$59=2,LEFT(S106,1)="N",$E$83&lt;&gt;1,$J$150&lt;&gt;4),CONCATENATE(P106,Q106,R106,"xxx",T106,U106,V106,W106,X106),IF(AND($E$83=2,$J$150=4,$C$59&lt;&gt;3),CONCATENATE(P106,Q106,R106,$Y$75,T106,U106,V106,W106,X106),IF(OR($E$83=1,$J$150=4),CONCATENATE(P106,Q106,R106,"999",T106,U106,V106,W106,X106,),CONCATENATE(P106,Q106,R106,S106,T106,U106,V106,W106,X106)))))))</f>
        <v>PC32LX004B04-01FC1</v>
      </c>
      <c r="Y95" s="68"/>
      <c r="Z95" s="34"/>
      <c r="AA95" s="310"/>
      <c r="AP95" s="755">
        <v>0.45</v>
      </c>
    </row>
    <row r="96" spans="2:44">
      <c r="B96" s="309"/>
      <c r="C96" s="67" t="s">
        <v>308</v>
      </c>
      <c r="D96" s="161">
        <v>10</v>
      </c>
      <c r="E96" s="158">
        <v>7.1</v>
      </c>
      <c r="F96" s="158">
        <v>6.6</v>
      </c>
      <c r="G96" s="158">
        <v>6.1</v>
      </c>
      <c r="H96" s="157">
        <v>5.9</v>
      </c>
      <c r="I96" s="157">
        <v>1E-3</v>
      </c>
      <c r="J96" s="157">
        <v>1.6E-2</v>
      </c>
      <c r="K96" s="169">
        <v>0.93</v>
      </c>
      <c r="L96" s="326">
        <v>127</v>
      </c>
      <c r="O96" s="309"/>
      <c r="P96" s="34"/>
      <c r="Q96" s="34"/>
      <c r="R96" s="34"/>
      <c r="S96" s="34"/>
      <c r="T96" s="34"/>
      <c r="U96" s="34"/>
      <c r="V96" s="34"/>
      <c r="W96" s="128">
        <v>4</v>
      </c>
      <c r="X96" s="34" t="str">
        <f ca="1">IF($C$59=3,CONCATENATE(P107,Q107,R107,"XXX",T107,U107,V107,W107,X107),IF(AND(Input!J49="OK",V107&lt;&gt;"-",LEFT(S107,1)&lt;&gt;"N",$E$83&lt;&gt;1,$J$150&lt;&gt;4),CONCATENATE(P107,Q107,R107,S107,T107,U107,V107,W107,X107),IF(AND($E$83=2,$J$150=4,$C$59&lt;&gt;3),CONCATENATE(P107,Q107,R107,Y75,T107,U107,V107,W107,X107),IF(AND(Input!J52="OK",V107&lt;&gt;"-",$C$59=2,LEFT(S107,1)="N",$E$83&lt;&gt;1,$J$150&lt;&gt;4),CONCATENATE(P107,Q107,R107,"xxx",T107,U107,V107,W107,X107),IF(AND($E$83=2,$J$150=4,$C$59&lt;&gt;3),CONCATENATE(P107,Q107,R107,$Y$75,T107,U107,V107,W107,X107),IF(OR($E$83=1,$J$150=4),CONCATENATE(P107,Q107,R107,"999",T107,U107,V107,W107,X107,),CONCATENATE(P107,Q107,R107,S107,T107,U107,V107,W107,X107)))))))</f>
        <v>PC32LX004B10-01FC1</v>
      </c>
      <c r="Y96" s="68"/>
      <c r="Z96" s="34"/>
      <c r="AA96" s="310"/>
      <c r="AP96" s="176">
        <v>0.44</v>
      </c>
    </row>
    <row r="97" spans="2:42">
      <c r="B97" s="309"/>
      <c r="C97" s="67" t="s">
        <v>309</v>
      </c>
      <c r="D97" s="161">
        <v>15</v>
      </c>
      <c r="E97" s="158">
        <v>14</v>
      </c>
      <c r="F97" s="158">
        <v>12.4</v>
      </c>
      <c r="G97" s="158">
        <v>11.9</v>
      </c>
      <c r="H97" s="157">
        <v>11.3</v>
      </c>
      <c r="I97" s="157">
        <v>1E-3</v>
      </c>
      <c r="J97" s="157">
        <v>2.4E-2</v>
      </c>
      <c r="K97" s="169">
        <v>0.88</v>
      </c>
      <c r="L97" s="326">
        <v>127</v>
      </c>
      <c r="O97" s="309"/>
      <c r="P97" s="34"/>
      <c r="Q97" s="34"/>
      <c r="R97" s="34"/>
      <c r="S97" s="34"/>
      <c r="T97" s="34"/>
      <c r="U97" s="34"/>
      <c r="V97" s="34"/>
      <c r="W97" s="128">
        <v>5</v>
      </c>
      <c r="X97" s="34" t="str">
        <f ca="1">IF($C$59=3,CONCATENATE(P108,Q108,R108,"XXX",T108,U108,V108,W108,X108),IF(AND(Input!J49="OK",V108&lt;&gt;"-",LEFT(S108,1)&lt;&gt;"N",$E$83&lt;&gt;1,$J$150&lt;&gt;4),CONCATENATE(P108,Q108,R108,S108,T108,U108,V108,W108,X108),IF(AND($E$83=2,$J$150=4,$C$59&lt;&gt;3),CONCATENATE(P108,Q108,R108,Y75,T108,U108,V108,W108,X108),IF(AND(Input!J53="OK",V108&lt;&gt;"-",$E$83&lt;&gt;1,$J$150&lt;&gt;4),CONCATENATE(P108,Q108,R108,S108,T108,U108,V108,W108,X108),IF(AND($E$83=2,$J$150=4,$C$59&lt;&gt;3),CONCATENATE(P108,Q108,R108,$Y$75,T108,U108,V108,W108,X108),CONCATENATE(P108,Q108,R108,"999",T108,U108,V108,W108,X108,))))))</f>
        <v>PC40LX004B05-01FC1</v>
      </c>
      <c r="Y97" s="68"/>
      <c r="Z97" s="34"/>
      <c r="AA97" s="310"/>
      <c r="AP97" s="755">
        <v>0.42999999999999899</v>
      </c>
    </row>
    <row r="98" spans="2:42">
      <c r="B98" s="309"/>
      <c r="C98" s="72" t="s">
        <v>310</v>
      </c>
      <c r="D98" s="165">
        <v>25</v>
      </c>
      <c r="E98" s="159">
        <v>9.8000000000000007</v>
      </c>
      <c r="F98" s="159">
        <v>16</v>
      </c>
      <c r="G98" s="159">
        <v>14.1</v>
      </c>
      <c r="H98" s="166">
        <v>13</v>
      </c>
      <c r="I98" s="166">
        <v>1E-3</v>
      </c>
      <c r="J98" s="166">
        <v>2.4E-2</v>
      </c>
      <c r="K98" s="170">
        <v>0.88</v>
      </c>
      <c r="L98" s="327">
        <v>127</v>
      </c>
      <c r="O98" s="309"/>
      <c r="P98" s="34"/>
      <c r="Q98" s="34"/>
      <c r="R98" s="34"/>
      <c r="S98" s="34"/>
      <c r="T98" s="34"/>
      <c r="U98" s="34"/>
      <c r="V98" s="34"/>
      <c r="W98" s="128">
        <v>6</v>
      </c>
      <c r="X98" s="34" t="str">
        <f ca="1">IF($C$59=3,CONCATENATE(P109,Q109,R109,"XXX",T109,U109,V109,W109,X109),IF(AND(Input!J49="OK",V109&lt;&gt;"-",LEFT(S109,1)&lt;&gt;"N",$E$83&lt;&gt;1,$J$150&lt;&gt;4),CONCATENATE(P109,Q109,R109,S109,T109,U109,V109,W109,X109),IF(AND($E$83=2,$J$150=4,$C$59&lt;&gt;3),CONCATENATE(P109,Q109,R109,Y75,T109,U109,V109,W109,X109),IF(AND(Input!J54="OK",V109&lt;&gt;"-",$E$83&lt;&gt;1,$J$150&lt;&gt;4),CONCATENATE(P109,Q109,R109,S109,T109,U109,V109,W109,X109),IF(AND($E$83=2,$J$150=4,$C$59&lt;&gt;3),CONCATENATE(P109,Q109,R109,$Y$75,T109,U109,V109,W109,X109),CONCATENATE(P109,Q109,R109,"999",T109,U109,V109,W109,X109,))))))</f>
        <v>PC40LX004B10-01FC1</v>
      </c>
      <c r="Y98" s="68"/>
      <c r="Z98" s="34"/>
      <c r="AA98" s="310"/>
      <c r="AP98" s="176">
        <v>0.41999999999999899</v>
      </c>
    </row>
    <row r="99" spans="2:42">
      <c r="B99" s="309"/>
      <c r="C99" s="34"/>
      <c r="D99" s="163"/>
      <c r="E99" s="164"/>
      <c r="F99" s="164"/>
      <c r="G99" s="164"/>
      <c r="H99" s="164"/>
      <c r="I99" s="164"/>
      <c r="J99" s="164"/>
      <c r="K99" s="164"/>
      <c r="L99" s="310"/>
      <c r="O99" s="309"/>
      <c r="P99" s="34"/>
      <c r="Q99" s="34"/>
      <c r="R99" s="34"/>
      <c r="S99" s="34"/>
      <c r="T99" s="34"/>
      <c r="U99" s="34"/>
      <c r="V99" s="34"/>
      <c r="W99" s="896">
        <v>7</v>
      </c>
      <c r="X99" s="89" t="str">
        <f ca="1">IF($C$59=3,CONCATENATE(P110,Q110,R110,"XXX",T110,U110,V110,W110,X110),IF(AND(Input!J49="OK",V110&lt;&gt;"-",LEFT(S110,1)&lt;&gt;"N",$E$83&lt;&gt;1,$J$150&lt;&gt;4),CONCATENATE(P110,Q110,R110,S110,T110,U110,V110,W110,X110),IF(AND($E$83=2,$J$150=4,$C$59&lt;&gt;3),CONCATENATE(P110,Q110,R110,Y75,T110,U110,V110,W110,X110),IF(AND(Input!J55="OK",V110&lt;&gt;"-",$E$83&lt;&gt;1,$J$150&lt;&gt;4),CONCATENATE(P110,Q110,R110,S110,T110,U110,V110,W110,X110),IF(AND($E$83=2,$J$150=4,$C$59&lt;&gt;3),CONCATENATE(P110,Q110,R110,$Y$75,T110,U110,V110,W110,X110),CONCATENATE(P110,Q110,R110,"999",T110,U110,V110,W110,X110,))))))</f>
        <v>PC40LX004B20-01FC1</v>
      </c>
      <c r="Y99" s="90"/>
      <c r="Z99" s="34"/>
      <c r="AA99" s="310"/>
      <c r="AB99" s="34"/>
      <c r="AC99" s="34"/>
      <c r="AD99" s="34"/>
      <c r="AE99" s="34"/>
      <c r="AF99" s="34"/>
      <c r="AG99" s="34"/>
      <c r="AP99" s="755">
        <v>0.40999999999999898</v>
      </c>
    </row>
    <row r="100" spans="2:42">
      <c r="B100" s="309"/>
      <c r="C100" s="167" t="s">
        <v>291</v>
      </c>
      <c r="D100" s="34"/>
      <c r="E100" s="34"/>
      <c r="F100" s="34"/>
      <c r="G100" s="34"/>
      <c r="H100" s="34"/>
      <c r="I100" s="34"/>
      <c r="J100" s="34"/>
      <c r="K100" s="34"/>
      <c r="L100" s="310"/>
      <c r="O100" s="309"/>
      <c r="P100" s="34"/>
      <c r="Q100" s="34"/>
      <c r="R100" s="34"/>
      <c r="S100" s="34"/>
      <c r="T100" s="34"/>
      <c r="U100" s="34"/>
      <c r="V100" s="34"/>
      <c r="W100" s="34"/>
      <c r="X100" s="34"/>
      <c r="Y100" s="34"/>
      <c r="Z100" s="34"/>
      <c r="AA100" s="310"/>
      <c r="AB100" s="87"/>
      <c r="AC100" s="34"/>
      <c r="AD100" s="34"/>
      <c r="AE100" s="34"/>
      <c r="AF100" s="34"/>
      <c r="AG100" s="34"/>
      <c r="AP100" s="176">
        <v>0.39999999999999902</v>
      </c>
    </row>
    <row r="101" spans="2:42">
      <c r="B101" s="309"/>
      <c r="C101" s="798" t="s">
        <v>208</v>
      </c>
      <c r="D101" s="799"/>
      <c r="E101" s="799"/>
      <c r="F101" s="800"/>
      <c r="G101" s="801" t="s">
        <v>317</v>
      </c>
      <c r="H101" s="802"/>
      <c r="I101" s="34"/>
      <c r="J101" s="34"/>
      <c r="K101" s="34"/>
      <c r="L101" s="310"/>
      <c r="O101" s="814" t="s">
        <v>225</v>
      </c>
      <c r="P101" s="813"/>
      <c r="Q101" s="73"/>
      <c r="R101" s="73"/>
      <c r="S101" s="73"/>
      <c r="T101" s="73"/>
      <c r="U101" s="73"/>
      <c r="V101" s="73"/>
      <c r="W101" s="73"/>
      <c r="X101" s="71"/>
      <c r="Y101" s="34"/>
      <c r="Z101" s="34"/>
      <c r="AA101" s="310"/>
      <c r="AP101" s="755">
        <v>0.38999999999999901</v>
      </c>
    </row>
    <row r="102" spans="2:42">
      <c r="B102" s="309"/>
      <c r="C102" s="34"/>
      <c r="D102" s="152" t="s">
        <v>305</v>
      </c>
      <c r="E102" s="34"/>
      <c r="F102" s="34"/>
      <c r="G102" s="794" t="s">
        <v>318</v>
      </c>
      <c r="H102" s="795"/>
      <c r="I102" s="796"/>
      <c r="J102" s="34"/>
      <c r="K102" s="34"/>
      <c r="L102" s="310"/>
      <c r="O102" s="339"/>
      <c r="P102" s="129" t="s">
        <v>154</v>
      </c>
      <c r="Q102" s="129" t="s">
        <v>192</v>
      </c>
      <c r="R102" s="129" t="s">
        <v>193</v>
      </c>
      <c r="S102" s="129" t="s">
        <v>194</v>
      </c>
      <c r="T102" s="129" t="s">
        <v>195</v>
      </c>
      <c r="U102" s="129" t="s">
        <v>10</v>
      </c>
      <c r="V102" s="129" t="s">
        <v>159</v>
      </c>
      <c r="W102" s="129" t="s">
        <v>196</v>
      </c>
      <c r="X102" s="370" t="s">
        <v>197</v>
      </c>
      <c r="Y102" s="34"/>
      <c r="Z102" s="34"/>
      <c r="AA102" s="310"/>
      <c r="AP102" s="176">
        <v>0.37999999999999901</v>
      </c>
    </row>
    <row r="103" spans="2:42">
      <c r="B103" s="309"/>
      <c r="C103" s="34"/>
      <c r="D103" s="87" t="str">
        <f ca="1">C150</f>
        <v>AKM22E</v>
      </c>
      <c r="E103" s="34"/>
      <c r="F103" s="34"/>
      <c r="G103" s="34"/>
      <c r="H103" s="34"/>
      <c r="I103" s="34"/>
      <c r="J103" s="34"/>
      <c r="K103" s="34"/>
      <c r="L103" s="310"/>
      <c r="O103" s="339" t="s">
        <v>191</v>
      </c>
      <c r="P103" s="279">
        <v>1</v>
      </c>
      <c r="Q103" s="279">
        <v>2</v>
      </c>
      <c r="R103" s="279">
        <v>3</v>
      </c>
      <c r="S103" s="279">
        <v>4</v>
      </c>
      <c r="T103" s="279">
        <v>5</v>
      </c>
      <c r="U103" s="279">
        <v>6</v>
      </c>
      <c r="V103" s="279">
        <v>7</v>
      </c>
      <c r="W103" s="279">
        <v>8</v>
      </c>
      <c r="X103" s="83">
        <v>9</v>
      </c>
      <c r="Y103" s="34"/>
      <c r="Z103" s="34"/>
      <c r="AA103" s="310"/>
      <c r="AP103" s="755">
        <v>0.369999999999999</v>
      </c>
    </row>
    <row r="104" spans="2:42">
      <c r="B104" s="309"/>
      <c r="C104" s="119" t="s">
        <v>285</v>
      </c>
      <c r="D104" s="152" t="s">
        <v>111</v>
      </c>
      <c r="E104" s="152" t="s">
        <v>311</v>
      </c>
      <c r="F104" s="119" t="s">
        <v>306</v>
      </c>
      <c r="G104" s="152" t="s">
        <v>316</v>
      </c>
      <c r="H104" s="152" t="s">
        <v>289</v>
      </c>
      <c r="I104" s="182" t="s">
        <v>304</v>
      </c>
      <c r="J104" s="129" t="s">
        <v>285</v>
      </c>
      <c r="K104" s="129" t="s">
        <v>312</v>
      </c>
      <c r="L104" s="328" t="s">
        <v>199</v>
      </c>
      <c r="O104" s="317" t="s">
        <v>19</v>
      </c>
      <c r="P104" s="279" t="s">
        <v>185</v>
      </c>
      <c r="Q104" s="279">
        <v>25</v>
      </c>
      <c r="R104" s="279" t="str">
        <f t="shared" ref="R104:R110" si="15">IF($C$59=1,"LX",IF($C$59=2,"PA",IF($C$59=3,"SX","")))</f>
        <v>LX</v>
      </c>
      <c r="S104" s="236" t="str">
        <f t="shared" ref="S104:S110" ca="1" si="16">Z115</f>
        <v>004</v>
      </c>
      <c r="T104" s="279" t="s">
        <v>186</v>
      </c>
      <c r="U104" s="279" t="str">
        <f>"0"&amp;$C$40</f>
        <v>01</v>
      </c>
      <c r="V104" s="279" t="str">
        <f t="shared" ref="V104:V110" si="17">LEFT(VLOOKUP($C$72,$C$73:$D$79,2,FALSE),1)</f>
        <v>F</v>
      </c>
      <c r="W104" s="279" t="str">
        <f t="shared" ref="W104:W110" si="18">LEFT(VLOOKUP($G$72,$G$73:$H$76,2,FALSE),1)</f>
        <v>C</v>
      </c>
      <c r="X104" s="83">
        <v>1</v>
      </c>
      <c r="Y104" s="34"/>
      <c r="Z104" s="34"/>
      <c r="AA104" s="310"/>
      <c r="AP104" s="176">
        <v>0.35999999999999899</v>
      </c>
    </row>
    <row r="105" spans="2:42">
      <c r="B105" s="309"/>
      <c r="C105" s="136" t="s">
        <v>299</v>
      </c>
      <c r="D105" s="34" t="s">
        <v>292</v>
      </c>
      <c r="E105" s="211" t="s">
        <v>377</v>
      </c>
      <c r="F105" s="168" t="s">
        <v>378</v>
      </c>
      <c r="G105" s="34" t="e">
        <f>LOOKUP($D$90,$D$94:$D$98,$C$94:$C$98)&amp;"-0-"</f>
        <v>#N/A</v>
      </c>
      <c r="H105" s="34" t="b">
        <f ca="1">IF(AND(J150=1,$E$83=2),LOOKUP(LEFT($C$150,4),$D$105:$D$108,$E$105:$E$108))</f>
        <v>0</v>
      </c>
      <c r="I105" s="76" t="str">
        <f ca="1">IF(AND($J$150=1,$E$83=2),CONCATENATE($G$105,$H$105),IF($J$150&lt;&gt;1,"Only applicable with AKM",""))</f>
        <v/>
      </c>
      <c r="J105" s="136" t="s">
        <v>264</v>
      </c>
      <c r="K105" s="279">
        <v>138</v>
      </c>
      <c r="L105" s="329" t="s">
        <v>211</v>
      </c>
      <c r="O105" s="317" t="s">
        <v>20</v>
      </c>
      <c r="P105" s="279" t="s">
        <v>185</v>
      </c>
      <c r="Q105" s="279">
        <v>25</v>
      </c>
      <c r="R105" s="279" t="str">
        <f t="shared" si="15"/>
        <v>LX</v>
      </c>
      <c r="S105" s="236" t="str">
        <f t="shared" ca="1" si="16"/>
        <v>004</v>
      </c>
      <c r="T105" s="279" t="s">
        <v>187</v>
      </c>
      <c r="U105" s="279" t="str">
        <f t="shared" ref="U105:U110" si="19">"0"&amp;$C$40</f>
        <v>01</v>
      </c>
      <c r="V105" s="279" t="str">
        <f t="shared" si="17"/>
        <v>F</v>
      </c>
      <c r="W105" s="279" t="str">
        <f t="shared" si="18"/>
        <v>C</v>
      </c>
      <c r="X105" s="83">
        <v>1</v>
      </c>
      <c r="Y105" s="34"/>
      <c r="Z105" s="34"/>
      <c r="AA105" s="310"/>
      <c r="AP105" s="755">
        <v>0.34999999999999898</v>
      </c>
    </row>
    <row r="106" spans="2:42">
      <c r="B106" s="309"/>
      <c r="C106" s="34"/>
      <c r="D106" s="34" t="s">
        <v>293</v>
      </c>
      <c r="E106" s="34" t="s">
        <v>294</v>
      </c>
      <c r="F106" s="34" t="s">
        <v>301</v>
      </c>
      <c r="G106" s="34"/>
      <c r="H106" s="34"/>
      <c r="I106" s="76" t="str">
        <f ca="1">IF(AND($J$150=1,$E$83=2),CONCATENATE($G$105,$H$105),IF($J$150&lt;&gt;1,"Only applicable with AKM",""))</f>
        <v/>
      </c>
      <c r="J106" s="279" t="s">
        <v>299</v>
      </c>
      <c r="K106" s="279">
        <v>127</v>
      </c>
      <c r="L106" s="311" t="s">
        <v>211</v>
      </c>
      <c r="O106" s="317" t="s">
        <v>21</v>
      </c>
      <c r="P106" s="279" t="s">
        <v>185</v>
      </c>
      <c r="Q106" s="279">
        <v>32</v>
      </c>
      <c r="R106" s="279" t="str">
        <f t="shared" si="15"/>
        <v>LX</v>
      </c>
      <c r="S106" s="236" t="str">
        <f t="shared" ca="1" si="16"/>
        <v>004</v>
      </c>
      <c r="T106" s="279" t="s">
        <v>188</v>
      </c>
      <c r="U106" s="279" t="str">
        <f t="shared" si="19"/>
        <v>01</v>
      </c>
      <c r="V106" s="279" t="str">
        <f t="shared" si="17"/>
        <v>F</v>
      </c>
      <c r="W106" s="279" t="str">
        <f t="shared" si="18"/>
        <v>C</v>
      </c>
      <c r="X106" s="83">
        <v>1</v>
      </c>
      <c r="Y106" s="34"/>
      <c r="Z106" s="34"/>
      <c r="AA106" s="310"/>
      <c r="AP106" s="176">
        <v>0.33999999999999903</v>
      </c>
    </row>
    <row r="107" spans="2:42">
      <c r="B107" s="309"/>
      <c r="C107" s="34"/>
      <c r="D107" s="34" t="s">
        <v>295</v>
      </c>
      <c r="E107" s="34" t="s">
        <v>296</v>
      </c>
      <c r="F107" s="34" t="s">
        <v>302</v>
      </c>
      <c r="G107" s="34"/>
      <c r="H107" s="34"/>
      <c r="I107" s="76" t="str">
        <f ca="1">IF(AND($J$150=1,$E$83=2,Input!J51="OK"),CONCATENATE($G$105,$H$105),IF($J$150&lt;&gt;1,"Only applicable with AKM",""))</f>
        <v/>
      </c>
      <c r="J107" s="34"/>
      <c r="K107" s="34"/>
      <c r="L107" s="310"/>
      <c r="O107" s="317" t="s">
        <v>22</v>
      </c>
      <c r="P107" s="279" t="s">
        <v>185</v>
      </c>
      <c r="Q107" s="279">
        <v>32</v>
      </c>
      <c r="R107" s="279" t="str">
        <f t="shared" si="15"/>
        <v>LX</v>
      </c>
      <c r="S107" s="236" t="str">
        <f t="shared" ca="1" si="16"/>
        <v>004</v>
      </c>
      <c r="T107" s="279" t="s">
        <v>187</v>
      </c>
      <c r="U107" s="279" t="str">
        <f t="shared" si="19"/>
        <v>01</v>
      </c>
      <c r="V107" s="279" t="str">
        <f t="shared" si="17"/>
        <v>F</v>
      </c>
      <c r="W107" s="279" t="str">
        <f t="shared" si="18"/>
        <v>C</v>
      </c>
      <c r="X107" s="83">
        <v>1</v>
      </c>
      <c r="Y107" s="34"/>
      <c r="Z107" s="34"/>
      <c r="AA107" s="310"/>
      <c r="AP107" s="755">
        <v>0.32999999999999902</v>
      </c>
    </row>
    <row r="108" spans="2:42">
      <c r="B108" s="309"/>
      <c r="C108" s="34"/>
      <c r="D108" s="34" t="s">
        <v>297</v>
      </c>
      <c r="E108" s="34" t="s">
        <v>298</v>
      </c>
      <c r="F108" s="34" t="s">
        <v>303</v>
      </c>
      <c r="G108" s="34"/>
      <c r="H108" s="34"/>
      <c r="I108" s="76" t="str">
        <f ca="1">IF(AND($J$150=1,$E$83=2,Input!J52="OK"),CONCATENATE($G$105,$H$105),IF($J$150&lt;&gt;1,"Only applicable with AKM",""))</f>
        <v/>
      </c>
      <c r="J108" s="34"/>
      <c r="K108" s="34"/>
      <c r="L108" s="310"/>
      <c r="O108" s="317" t="s">
        <v>23</v>
      </c>
      <c r="P108" s="279" t="s">
        <v>185</v>
      </c>
      <c r="Q108" s="279">
        <v>40</v>
      </c>
      <c r="R108" s="279" t="str">
        <f t="shared" si="15"/>
        <v>LX</v>
      </c>
      <c r="S108" s="236" t="str">
        <f t="shared" ca="1" si="16"/>
        <v>004</v>
      </c>
      <c r="T108" s="279" t="s">
        <v>189</v>
      </c>
      <c r="U108" s="279" t="str">
        <f t="shared" si="19"/>
        <v>01</v>
      </c>
      <c r="V108" s="279" t="str">
        <f t="shared" si="17"/>
        <v>F</v>
      </c>
      <c r="W108" s="279" t="str">
        <f t="shared" si="18"/>
        <v>C</v>
      </c>
      <c r="X108" s="83">
        <v>1</v>
      </c>
      <c r="Y108" s="34"/>
      <c r="Z108" s="34"/>
      <c r="AA108" s="310"/>
      <c r="AP108" s="176">
        <v>0.31999999999999901</v>
      </c>
    </row>
    <row r="109" spans="2:42">
      <c r="B109" s="309"/>
      <c r="C109" s="34"/>
      <c r="D109" s="34"/>
      <c r="E109" s="34"/>
      <c r="F109" s="34"/>
      <c r="G109" s="34"/>
      <c r="H109" s="34"/>
      <c r="I109" s="76" t="str">
        <f ca="1">IF(AND($J$150=1,$E$83=2,Input!J53="OK"),CONCATENATE($G$105,$H$105),IF($J$150&lt;&gt;1,"Only applicable with AKM",""))</f>
        <v/>
      </c>
      <c r="J109" s="34"/>
      <c r="K109" s="34"/>
      <c r="L109" s="310"/>
      <c r="O109" s="317" t="s">
        <v>24</v>
      </c>
      <c r="P109" s="279" t="s">
        <v>185</v>
      </c>
      <c r="Q109" s="279">
        <v>40</v>
      </c>
      <c r="R109" s="279" t="str">
        <f t="shared" si="15"/>
        <v>LX</v>
      </c>
      <c r="S109" s="236" t="str">
        <f t="shared" ca="1" si="16"/>
        <v>004</v>
      </c>
      <c r="T109" s="279" t="s">
        <v>187</v>
      </c>
      <c r="U109" s="279" t="str">
        <f t="shared" si="19"/>
        <v>01</v>
      </c>
      <c r="V109" s="279" t="str">
        <f t="shared" si="17"/>
        <v>F</v>
      </c>
      <c r="W109" s="279" t="str">
        <f t="shared" si="18"/>
        <v>C</v>
      </c>
      <c r="X109" s="83">
        <v>1</v>
      </c>
      <c r="Y109" s="34"/>
      <c r="Z109" s="34"/>
      <c r="AA109" s="310"/>
      <c r="AP109" s="755">
        <v>0.309999999999999</v>
      </c>
    </row>
    <row r="110" spans="2:42">
      <c r="B110" s="309"/>
      <c r="C110" s="136"/>
      <c r="D110" s="136"/>
      <c r="E110" s="34"/>
      <c r="F110" s="34"/>
      <c r="G110" s="34"/>
      <c r="H110" s="34"/>
      <c r="I110" s="76" t="str">
        <f ca="1">IF(AND($J$150=1,$E$83=2,Input!J54="OK"),CONCATENATE($G$105,$H$105),IF($J$150&lt;&gt;1,"Only applicable with AKM",""))</f>
        <v/>
      </c>
      <c r="J110" s="34"/>
      <c r="K110" s="34"/>
      <c r="L110" s="310"/>
      <c r="O110" s="815" t="s">
        <v>25</v>
      </c>
      <c r="P110" s="113" t="s">
        <v>185</v>
      </c>
      <c r="Q110" s="113">
        <v>40</v>
      </c>
      <c r="R110" s="113" t="str">
        <f t="shared" si="15"/>
        <v>LX</v>
      </c>
      <c r="S110" s="297" t="str">
        <f t="shared" ca="1" si="16"/>
        <v>004</v>
      </c>
      <c r="T110" s="113" t="s">
        <v>190</v>
      </c>
      <c r="U110" s="113" t="str">
        <f t="shared" si="19"/>
        <v>01</v>
      </c>
      <c r="V110" s="113" t="str">
        <f t="shared" si="17"/>
        <v>F</v>
      </c>
      <c r="W110" s="113" t="str">
        <f t="shared" si="18"/>
        <v>C</v>
      </c>
      <c r="X110" s="791">
        <v>1</v>
      </c>
      <c r="Y110" s="34"/>
      <c r="Z110" s="34"/>
      <c r="AA110" s="310"/>
      <c r="AP110" s="176">
        <v>0.29999999999999899</v>
      </c>
    </row>
    <row r="111" spans="2:42">
      <c r="B111" s="309"/>
      <c r="C111" s="34"/>
      <c r="D111" s="87"/>
      <c r="E111" s="34"/>
      <c r="F111" s="34"/>
      <c r="G111" s="34"/>
      <c r="H111" s="34"/>
      <c r="I111" s="77" t="str">
        <f ca="1">IF(AND($J$150=1,$E$83=2,Input!J55="OK"),CONCATENATE($G$105,$H$105),IF($J$150&lt;&gt;1,"Only applicable with AKM",""))</f>
        <v/>
      </c>
      <c r="J111" s="34"/>
      <c r="K111" s="34"/>
      <c r="L111" s="310"/>
      <c r="O111" s="309"/>
      <c r="P111" s="34"/>
      <c r="Q111" s="34"/>
      <c r="R111" s="34"/>
      <c r="S111" s="34"/>
      <c r="T111" s="34"/>
      <c r="U111" s="34"/>
      <c r="V111" s="34"/>
      <c r="W111" s="34"/>
      <c r="X111" s="120"/>
      <c r="Y111" s="120"/>
      <c r="Z111" s="120"/>
      <c r="AA111" s="816"/>
      <c r="AD111" s="34"/>
      <c r="AE111" s="34"/>
      <c r="AF111" s="34"/>
      <c r="AG111" s="279"/>
      <c r="AP111" s="755">
        <v>0.28999999999999898</v>
      </c>
    </row>
    <row r="112" spans="2:42">
      <c r="B112" s="309"/>
      <c r="C112" s="34"/>
      <c r="D112" s="34"/>
      <c r="E112" s="34"/>
      <c r="F112" s="34"/>
      <c r="G112" s="34"/>
      <c r="H112" s="34"/>
      <c r="I112" s="34"/>
      <c r="J112" s="34"/>
      <c r="K112" s="34"/>
      <c r="L112" s="310"/>
      <c r="O112" s="309"/>
      <c r="P112" s="34"/>
      <c r="Q112" s="34"/>
      <c r="R112" s="34"/>
      <c r="S112" s="34"/>
      <c r="T112" s="34"/>
      <c r="U112" s="34"/>
      <c r="V112" s="34"/>
      <c r="W112" s="34"/>
      <c r="X112" s="87" t="s">
        <v>471</v>
      </c>
      <c r="Y112" s="34"/>
      <c r="Z112" s="34"/>
      <c r="AA112" s="310"/>
      <c r="AP112" s="176">
        <v>0.27999999999999903</v>
      </c>
    </row>
    <row r="113" spans="2:84">
      <c r="B113" s="309"/>
      <c r="C113" s="1003" t="s">
        <v>262</v>
      </c>
      <c r="D113" s="1004"/>
      <c r="E113" s="1005"/>
      <c r="F113" s="73"/>
      <c r="G113" s="73"/>
      <c r="H113" s="73"/>
      <c r="I113" s="73"/>
      <c r="J113" s="73"/>
      <c r="K113" s="73"/>
      <c r="L113" s="330"/>
      <c r="O113" s="309"/>
      <c r="P113" s="34"/>
      <c r="Q113" s="34"/>
      <c r="R113" s="34"/>
      <c r="S113" s="34"/>
      <c r="T113" s="34"/>
      <c r="U113" s="34"/>
      <c r="V113" s="34"/>
      <c r="W113" s="34"/>
      <c r="X113" s="34"/>
      <c r="Y113" s="34"/>
      <c r="Z113" s="34"/>
      <c r="AA113" s="310"/>
      <c r="AP113" s="755">
        <v>0.26999999999999902</v>
      </c>
    </row>
    <row r="114" spans="2:84">
      <c r="B114" s="309"/>
      <c r="C114" s="67" t="s">
        <v>286</v>
      </c>
      <c r="D114" s="289" t="b">
        <v>0</v>
      </c>
      <c r="E114" s="34"/>
      <c r="F114" s="34"/>
      <c r="G114" s="34"/>
      <c r="H114" s="34"/>
      <c r="I114" s="34"/>
      <c r="J114" s="34"/>
      <c r="K114" s="34"/>
      <c r="L114" s="310"/>
      <c r="O114" s="309"/>
      <c r="P114" s="34"/>
      <c r="Q114" s="1003" t="s">
        <v>360</v>
      </c>
      <c r="R114" s="1004"/>
      <c r="S114" s="1004"/>
      <c r="T114" s="1005"/>
      <c r="U114" s="301"/>
      <c r="V114" s="34"/>
      <c r="W114" s="34"/>
      <c r="X114" s="34" t="s">
        <v>458</v>
      </c>
      <c r="Y114" s="34" t="s">
        <v>455</v>
      </c>
      <c r="Z114" s="34" t="s">
        <v>457</v>
      </c>
      <c r="AA114" s="310"/>
      <c r="AC114" s="114"/>
      <c r="AP114" s="176">
        <v>0.25999999999999901</v>
      </c>
    </row>
    <row r="115" spans="2:84">
      <c r="B115" s="309"/>
      <c r="C115" s="67">
        <v>2</v>
      </c>
      <c r="D115" s="34"/>
      <c r="E115" s="34"/>
      <c r="F115" s="87" t="str">
        <f>VLOOKUP(C115,C116:F120,4)</f>
        <v>65% - 80%</v>
      </c>
      <c r="G115" s="34"/>
      <c r="H115" s="87">
        <f>VLOOKUP(C115,C116:H120,6)</f>
        <v>0.2</v>
      </c>
      <c r="I115" s="34"/>
      <c r="J115" s="34"/>
      <c r="K115" s="107" t="s">
        <v>77</v>
      </c>
      <c r="L115" s="331">
        <f>IF($E$83=1,Input!I24,1)</f>
        <v>1</v>
      </c>
      <c r="O115" s="309"/>
      <c r="P115" s="34"/>
      <c r="Q115" s="152" t="s">
        <v>14</v>
      </c>
      <c r="R115" s="201" t="s">
        <v>362</v>
      </c>
      <c r="S115" s="201" t="s">
        <v>363</v>
      </c>
      <c r="T115" s="201" t="s">
        <v>364</v>
      </c>
      <c r="U115" s="301" t="s">
        <v>365</v>
      </c>
      <c r="V115" s="301" t="s">
        <v>1916</v>
      </c>
      <c r="W115" s="821" t="s">
        <v>1926</v>
      </c>
      <c r="X115" s="238" t="s">
        <v>19</v>
      </c>
      <c r="Y115" s="291" t="str">
        <f ca="1">IF($P$87&lt;&gt;0,VLOOKUP(1,$P$80:$T$86,5,FALSE),IF($R$91&lt;&gt;0,VLOOKUP(1,$P$89:$T$90,5,FALSE),$P$92))</f>
        <v>004</v>
      </c>
      <c r="Z115" s="292" t="str">
        <f ca="1">IF($P$87&lt;&gt;0,VLOOKUP(1,$P$80:$T$86,4,FALSE),IF($R$91&lt;&gt;0,VLOOKUP(1,$P$89:$T$90,4,FALSE),$P$92))</f>
        <v>004</v>
      </c>
      <c r="AA115" s="817"/>
      <c r="AP115" s="755">
        <v>0.249999999999999</v>
      </c>
    </row>
    <row r="116" spans="2:84">
      <c r="B116" s="309"/>
      <c r="C116" s="67">
        <v>1</v>
      </c>
      <c r="D116" s="34" t="s">
        <v>72</v>
      </c>
      <c r="E116" s="34"/>
      <c r="F116" s="34" t="s">
        <v>95</v>
      </c>
      <c r="G116" s="34"/>
      <c r="H116" s="34">
        <v>0</v>
      </c>
      <c r="I116" s="34"/>
      <c r="J116" s="34"/>
      <c r="K116" s="107" t="s">
        <v>78</v>
      </c>
      <c r="L116" s="332">
        <f>IF($E$83=1,Input!I25,1)</f>
        <v>1</v>
      </c>
      <c r="O116" s="309">
        <v>1</v>
      </c>
      <c r="P116" s="34"/>
      <c r="Q116" s="337">
        <f t="shared" ref="Q116:Q122" ca="1" si="20">AL21</f>
        <v>9.1628368929549564E-2</v>
      </c>
      <c r="R116" s="198">
        <f t="shared" ref="R116:S122" si="21">AK21</f>
        <v>5.6496478929549565E-2</v>
      </c>
      <c r="S116" s="199">
        <f t="shared" ca="1" si="21"/>
        <v>9.1628368929549564E-2</v>
      </c>
      <c r="T116" s="57">
        <f t="shared" ref="T116:T122" si="22">IF($L$38=1,0,AK21)</f>
        <v>0</v>
      </c>
      <c r="U116" s="301">
        <f ca="1">SQRT((Q116^2*$Q$123+R116^2*$R$123+S116^2*$S$123+T116^2*$T$123)/SUM(Q123:T123))</f>
        <v>7.370930219683638E-3</v>
      </c>
      <c r="V116" s="818">
        <f t="shared" ref="V116:V122" si="23">(ABS(($U$129/2+$U$130+$U$131/2)/$U$133*(M7-$W$129)+$W$129)*IF($C$90&lt;&gt;0,$D$90,$L$115))</f>
        <v>0.33898879642027824</v>
      </c>
      <c r="W116" s="818">
        <f>V116/60*C7</f>
        <v>1.694943982101391E-2</v>
      </c>
      <c r="X116" s="239" t="s">
        <v>20</v>
      </c>
      <c r="Y116" s="293" t="str">
        <f ca="1">IF($P$87&lt;&gt;0,VLOOKUP(1,$P$80:$T$86,5,FALSE),IF($R$91&lt;&gt;0,VLOOKUP(1,$P$89:$T$90,5,FALSE),$P$92))</f>
        <v>004</v>
      </c>
      <c r="Z116" s="294" t="str">
        <f ca="1">IF($P$87&lt;&gt;0,VLOOKUP(1,$P$80:$T$86,4,FALSE),IF($R$91&lt;&gt;0,VLOOKUP(1,$P$89:$T$90,4,FALSE),$P$92))</f>
        <v>004</v>
      </c>
      <c r="AA116" s="819"/>
      <c r="AP116" s="176">
        <v>0.23999999999999899</v>
      </c>
      <c r="AQ116" s="63"/>
      <c r="AR116" s="63"/>
    </row>
    <row r="117" spans="2:84">
      <c r="B117" s="309"/>
      <c r="C117" s="67">
        <v>2</v>
      </c>
      <c r="D117" s="34" t="s">
        <v>73</v>
      </c>
      <c r="E117" s="34"/>
      <c r="F117" s="34" t="s">
        <v>96</v>
      </c>
      <c r="G117" s="34"/>
      <c r="H117" s="34">
        <v>0.2</v>
      </c>
      <c r="I117" s="34"/>
      <c r="J117" s="34"/>
      <c r="K117" s="107" t="s">
        <v>158</v>
      </c>
      <c r="L117" s="333">
        <f>IF($E$83=1,Input!I26,0)</f>
        <v>0</v>
      </c>
      <c r="O117" s="309">
        <v>2</v>
      </c>
      <c r="P117" s="34"/>
      <c r="Q117" s="337">
        <f t="shared" ca="1" si="20"/>
        <v>0.17966671898738742</v>
      </c>
      <c r="R117" s="198">
        <f t="shared" si="21"/>
        <v>0.16912715198738743</v>
      </c>
      <c r="S117" s="199">
        <f t="shared" ca="1" si="21"/>
        <v>0.17966671898738742</v>
      </c>
      <c r="T117" s="57">
        <f t="shared" si="22"/>
        <v>0</v>
      </c>
      <c r="U117" s="301">
        <f t="shared" ref="U117:U122" ca="1" si="24">SQRT((Q117^2*$Q$123+R117^2*$R$123+S117^2*$S$123+T117^2*$T$123)/SUM($Q$123:$T$123))</f>
        <v>2.203250112238065E-2</v>
      </c>
      <c r="V117" s="818">
        <f t="shared" si="23"/>
        <v>0.10169663892608348</v>
      </c>
      <c r="W117" s="818">
        <f t="shared" ref="W117:W122" si="25">V117/60*C8</f>
        <v>1.6949439821013913E-2</v>
      </c>
      <c r="X117" s="239" t="s">
        <v>21</v>
      </c>
      <c r="Y117" s="293" t="str">
        <f ca="1">IF($Q$87&lt;&gt;0,VLOOKUP(1,$P$80:$T$86,5,FALSE),IF($R$91&lt;&gt;0,VLOOKUP(1,$P$89:$T$90,5,FALSE),$P$92))</f>
        <v>004</v>
      </c>
      <c r="Z117" s="294" t="str">
        <f ca="1">IF($Q$87&lt;&gt;0,VLOOKUP(1,$P$80:$T$86,4,FALSE),IF($R$91&lt;&gt;0,VLOOKUP(1,$P$89:$T$90,4,FALSE),$P$92))</f>
        <v>004</v>
      </c>
      <c r="AA117" s="819"/>
      <c r="AP117" s="755">
        <v>0.22999999999999901</v>
      </c>
      <c r="AQ117" s="246"/>
      <c r="AR117" s="246"/>
    </row>
    <row r="118" spans="2:84">
      <c r="B118" s="309"/>
      <c r="C118" s="67">
        <v>3</v>
      </c>
      <c r="D118" s="34" t="s">
        <v>74</v>
      </c>
      <c r="E118" s="34"/>
      <c r="F118" s="34" t="s">
        <v>97</v>
      </c>
      <c r="G118" s="34"/>
      <c r="H118" s="34">
        <v>0.1</v>
      </c>
      <c r="I118" s="34"/>
      <c r="J118" s="34"/>
      <c r="K118" s="148" t="s">
        <v>79</v>
      </c>
      <c r="L118" s="334">
        <f>IF($E$83=1,Input!I27,0)</f>
        <v>0</v>
      </c>
      <c r="O118" s="309">
        <v>3</v>
      </c>
      <c r="P118" s="34"/>
      <c r="Q118" s="337">
        <f t="shared" ca="1" si="20"/>
        <v>0.106711152194955</v>
      </c>
      <c r="R118" s="198">
        <f t="shared" si="21"/>
        <v>7.9050860794954991E-2</v>
      </c>
      <c r="S118" s="199">
        <f t="shared" ca="1" si="21"/>
        <v>0.106711152194955</v>
      </c>
      <c r="T118" s="57">
        <f t="shared" si="22"/>
        <v>0</v>
      </c>
      <c r="U118" s="301">
        <f t="shared" ca="1" si="24"/>
        <v>1.0305231756403492E-2</v>
      </c>
      <c r="V118" s="818">
        <f t="shared" si="23"/>
        <v>0.25424159731520868</v>
      </c>
      <c r="W118" s="818">
        <f t="shared" si="25"/>
        <v>1.6949439821013913E-2</v>
      </c>
      <c r="X118" s="239" t="s">
        <v>22</v>
      </c>
      <c r="Y118" s="293" t="str">
        <f ca="1">IF($Q$87&lt;&gt;0,VLOOKUP(1,$P$80:$T$86,5,FALSE),IF($R$91&lt;&gt;0,VLOOKUP(1,$P$89:$T$90,5,FALSE),$P$92))</f>
        <v>004</v>
      </c>
      <c r="Z118" s="294" t="str">
        <f ca="1">IF($Q$87&lt;&gt;0,VLOOKUP(1,$P$80:$T$86,4,FALSE),IF($R$91&lt;&gt;0,VLOOKUP(1,$P$89:$T$90,4,FALSE),$P$92))</f>
        <v>004</v>
      </c>
      <c r="AA118" s="819"/>
      <c r="AP118" s="176">
        <v>0.219999999999999</v>
      </c>
      <c r="AQ118" s="34"/>
      <c r="AR118" s="34"/>
      <c r="BR118" s="129"/>
      <c r="BS118" s="36"/>
      <c r="BT118" s="36"/>
      <c r="BU118" s="36"/>
      <c r="BV118" s="36"/>
      <c r="BW118" s="36"/>
      <c r="BX118" s="36"/>
      <c r="BY118" s="36"/>
      <c r="BZ118" s="36"/>
      <c r="CA118" s="36"/>
      <c r="CB118" s="36"/>
      <c r="CC118" s="36"/>
      <c r="CD118" s="36"/>
      <c r="CE118" s="36"/>
      <c r="CF118" s="36"/>
    </row>
    <row r="119" spans="2:84">
      <c r="B119" s="309"/>
      <c r="C119" s="67">
        <v>4</v>
      </c>
      <c r="D119" s="34" t="s">
        <v>75</v>
      </c>
      <c r="E119" s="34"/>
      <c r="F119" s="34" t="s">
        <v>99</v>
      </c>
      <c r="G119" s="34"/>
      <c r="H119" s="34">
        <v>0.1</v>
      </c>
      <c r="I119" s="34"/>
      <c r="J119" s="34"/>
      <c r="K119" s="34"/>
      <c r="L119" s="310"/>
      <c r="O119" s="812">
        <v>4</v>
      </c>
      <c r="P119" s="34"/>
      <c r="Q119" s="337">
        <f t="shared" ca="1" si="20"/>
        <v>0.21367460188072074</v>
      </c>
      <c r="R119" s="198">
        <f t="shared" si="21"/>
        <v>0.20261048532072073</v>
      </c>
      <c r="S119" s="199">
        <f t="shared" ca="1" si="21"/>
        <v>0.21367460188072074</v>
      </c>
      <c r="T119" s="57">
        <f t="shared" si="22"/>
        <v>0</v>
      </c>
      <c r="U119" s="301">
        <f t="shared" ca="1" si="24"/>
        <v>2.6394005504473489E-2</v>
      </c>
      <c r="V119" s="818">
        <f t="shared" si="23"/>
        <v>0.10169663892608348</v>
      </c>
      <c r="W119" s="818">
        <f t="shared" si="25"/>
        <v>1.6949439821013913E-2</v>
      </c>
      <c r="X119" s="239" t="s">
        <v>23</v>
      </c>
      <c r="Y119" s="293" t="str">
        <f ca="1">IF($R$87&lt;&gt;0,VLOOKUP(1,$P$80:$T$86,5,FALSE),IF($R$91&lt;&gt;0,VLOOKUP(1,$P$89:$T$90,5,FALSE),$P$92))</f>
        <v>004</v>
      </c>
      <c r="Z119" s="294" t="str">
        <f ca="1">IF($R$87&lt;&gt;0,VLOOKUP(1,$P$80:$T$86,4,FALSE),IF($R$91&lt;&gt;0,VLOOKUP(1,$P$89:$T$90,4,FALSE),$P$92))</f>
        <v>004</v>
      </c>
      <c r="AA119" s="819"/>
      <c r="AP119" s="755">
        <v>0.20999999999999899</v>
      </c>
      <c r="AQ119" s="34"/>
      <c r="AR119" s="34"/>
      <c r="BR119" s="129"/>
      <c r="BS119" s="34"/>
      <c r="BT119" s="34"/>
      <c r="BU119" s="34"/>
      <c r="BV119" s="34"/>
      <c r="BW119" s="34"/>
      <c r="BX119" s="34"/>
      <c r="BY119" s="34"/>
      <c r="BZ119" s="34"/>
      <c r="CA119" s="34"/>
      <c r="CB119" s="34"/>
      <c r="CC119" s="34"/>
      <c r="CD119" s="34"/>
      <c r="CE119" s="34"/>
      <c r="CF119" s="34"/>
    </row>
    <row r="120" spans="2:84">
      <c r="B120" s="309"/>
      <c r="C120" s="72">
        <v>5</v>
      </c>
      <c r="D120" s="89" t="s">
        <v>76</v>
      </c>
      <c r="E120" s="89"/>
      <c r="F120" s="89" t="s">
        <v>98</v>
      </c>
      <c r="G120" s="89"/>
      <c r="H120" s="89">
        <v>0.1</v>
      </c>
      <c r="I120" s="89"/>
      <c r="J120" s="89"/>
      <c r="K120" s="89"/>
      <c r="L120" s="335"/>
      <c r="O120" s="812">
        <v>5</v>
      </c>
      <c r="P120" s="34"/>
      <c r="Q120" s="337">
        <f t="shared" ca="1" si="20"/>
        <v>0.14851240310480482</v>
      </c>
      <c r="R120" s="198">
        <f t="shared" si="21"/>
        <v>0.11274968710480482</v>
      </c>
      <c r="S120" s="199">
        <f t="shared" ca="1" si="21"/>
        <v>0.14851240310480482</v>
      </c>
      <c r="T120" s="57">
        <f t="shared" si="22"/>
        <v>0</v>
      </c>
      <c r="U120" s="301">
        <f t="shared" ca="1" si="24"/>
        <v>1.4697000339548173E-2</v>
      </c>
      <c r="V120" s="818">
        <f t="shared" si="23"/>
        <v>0.20339327785216696</v>
      </c>
      <c r="W120" s="818">
        <f t="shared" si="25"/>
        <v>1.6949439821013913E-2</v>
      </c>
      <c r="X120" s="239" t="s">
        <v>24</v>
      </c>
      <c r="Y120" s="293" t="str">
        <f ca="1">IF($R$87&lt;&gt;0,VLOOKUP(1,$P$80:$T$86,5,FALSE),IF($R$91&lt;&gt;0,VLOOKUP(1,$P$89:$T$90,5,FALSE),$P$92))</f>
        <v>004</v>
      </c>
      <c r="Z120" s="294" t="str">
        <f ca="1">IF($R$87&lt;&gt;0,VLOOKUP(1,$P$80:$T$86,4,FALSE),IF($R$91&lt;&gt;0,VLOOKUP(1,$P$89:$T$90,4,FALSE),$P$92))</f>
        <v>004</v>
      </c>
      <c r="AA120" s="819"/>
      <c r="AP120" s="176">
        <v>0.19999999999999901</v>
      </c>
      <c r="AQ120" s="127"/>
      <c r="AR120" s="127"/>
      <c r="BR120" s="129"/>
      <c r="BS120" s="36"/>
      <c r="BT120" s="36"/>
      <c r="BU120" s="36"/>
      <c r="BV120" s="36"/>
      <c r="BW120" s="36"/>
      <c r="BX120" s="36"/>
      <c r="BY120" s="36"/>
      <c r="BZ120" s="36"/>
      <c r="CA120" s="36"/>
      <c r="CB120" s="36"/>
      <c r="CC120" s="36"/>
      <c r="CD120" s="36"/>
      <c r="CE120" s="36"/>
      <c r="CF120" s="36"/>
    </row>
    <row r="121" spans="2:84" ht="15.75" thickBot="1">
      <c r="B121" s="312"/>
      <c r="C121" s="313"/>
      <c r="D121" s="313"/>
      <c r="E121" s="313"/>
      <c r="F121" s="313"/>
      <c r="G121" s="313"/>
      <c r="H121" s="313"/>
      <c r="I121" s="313"/>
      <c r="J121" s="313"/>
      <c r="K121" s="313"/>
      <c r="L121" s="314"/>
      <c r="O121" s="812">
        <v>6</v>
      </c>
      <c r="P121" s="34"/>
      <c r="Q121" s="337">
        <f t="shared" ca="1" si="20"/>
        <v>0.24284739887627635</v>
      </c>
      <c r="R121" s="198">
        <f t="shared" si="21"/>
        <v>0.22496604087627634</v>
      </c>
      <c r="S121" s="199">
        <f t="shared" ca="1" si="21"/>
        <v>0.24284739887627635</v>
      </c>
      <c r="T121" s="57">
        <f t="shared" si="22"/>
        <v>0</v>
      </c>
      <c r="U121" s="301">
        <f t="shared" ca="1" si="24"/>
        <v>2.9307810752180478E-2</v>
      </c>
      <c r="V121" s="818">
        <f t="shared" si="23"/>
        <v>0.10169663892608348</v>
      </c>
      <c r="W121" s="818">
        <f t="shared" si="25"/>
        <v>1.6949439821013913E-2</v>
      </c>
      <c r="X121" s="243" t="s">
        <v>25</v>
      </c>
      <c r="Y121" s="295" t="str">
        <f ca="1">IF($R$87&lt;&gt;0,VLOOKUP(1,$P$80:$T$86,5,FALSE),IF($R$91&lt;&gt;0,VLOOKUP(1,$P$89:$T$90,5,FALSE),$P$92))</f>
        <v>004</v>
      </c>
      <c r="Z121" s="296" t="str">
        <f ca="1">IF($R$87&lt;&gt;0,VLOOKUP(1,$P$80:$T$86,4,FALSE),IF($R$91&lt;&gt;0,VLOOKUP(1,$P$89:$T$90,4,FALSE),$P$92))</f>
        <v>004</v>
      </c>
      <c r="AA121" s="820"/>
      <c r="AP121" s="755">
        <v>0.189999999999999</v>
      </c>
      <c r="AQ121" s="34"/>
      <c r="AR121" s="34"/>
      <c r="AS121" s="34"/>
      <c r="AT121" s="34"/>
      <c r="AU121" s="34"/>
      <c r="AV121" s="34"/>
      <c r="AW121" s="34"/>
      <c r="AX121" s="34"/>
      <c r="AY121" s="34"/>
      <c r="BR121" s="129"/>
      <c r="BS121" s="36"/>
      <c r="BT121" s="36"/>
      <c r="BU121" s="36"/>
      <c r="BV121" s="36"/>
      <c r="BW121" s="36"/>
      <c r="BX121" s="36"/>
      <c r="BY121" s="36"/>
      <c r="BZ121" s="36"/>
      <c r="CA121" s="36"/>
      <c r="CB121" s="36"/>
      <c r="CC121" s="117"/>
      <c r="CD121" s="117"/>
      <c r="CE121" s="117"/>
      <c r="CF121" s="117"/>
    </row>
    <row r="122" spans="2:84">
      <c r="O122" s="812">
        <v>7</v>
      </c>
      <c r="P122" s="34"/>
      <c r="Q122" s="337">
        <f t="shared" ca="1" si="20"/>
        <v>0.34709498297477487</v>
      </c>
      <c r="R122" s="198">
        <f t="shared" si="21"/>
        <v>0.33815430397477486</v>
      </c>
      <c r="S122" s="199">
        <f t="shared" ca="1" si="21"/>
        <v>0.34709498297477487</v>
      </c>
      <c r="T122" s="57">
        <f t="shared" si="22"/>
        <v>0</v>
      </c>
      <c r="U122" s="301">
        <f t="shared" ca="1" si="24"/>
        <v>4.4048677831558782E-2</v>
      </c>
      <c r="V122" s="818">
        <f t="shared" si="23"/>
        <v>5.084831946304174E-2</v>
      </c>
      <c r="W122" s="818">
        <f t="shared" si="25"/>
        <v>1.6949439821013913E-2</v>
      </c>
      <c r="X122" s="290"/>
      <c r="Y122" s="290"/>
      <c r="Z122" s="290"/>
      <c r="AA122" s="310"/>
      <c r="AJ122" s="121"/>
      <c r="AK122" s="121"/>
      <c r="AL122" s="121"/>
      <c r="AM122" s="121"/>
      <c r="AN122" s="120"/>
      <c r="AO122" s="120"/>
      <c r="AP122" s="176">
        <v>0.17999999999999899</v>
      </c>
      <c r="AQ122" s="120"/>
      <c r="AR122" s="120"/>
      <c r="AS122" s="121"/>
      <c r="AT122" s="121"/>
      <c r="AU122" s="121"/>
      <c r="AV122" s="121"/>
      <c r="AW122" s="121"/>
      <c r="AX122" s="121"/>
      <c r="AY122" s="121"/>
      <c r="BR122" s="129"/>
      <c r="BS122" s="34"/>
      <c r="BT122" s="36"/>
      <c r="BU122" s="36"/>
      <c r="BV122" s="36"/>
      <c r="BW122" s="36"/>
      <c r="BX122" s="36"/>
      <c r="BY122" s="36"/>
      <c r="BZ122" s="111"/>
      <c r="CA122" s="111"/>
      <c r="CB122" s="111"/>
      <c r="CC122" s="111"/>
      <c r="CD122" s="111"/>
      <c r="CE122" s="111"/>
      <c r="CF122" s="34"/>
    </row>
    <row r="123" spans="2:84">
      <c r="C123" s="996" t="s">
        <v>1904</v>
      </c>
      <c r="D123" s="997"/>
      <c r="E123" s="997"/>
      <c r="F123" s="997"/>
      <c r="G123" s="997"/>
      <c r="H123" s="997"/>
      <c r="I123" s="997"/>
      <c r="J123" s="997"/>
      <c r="K123" s="998"/>
      <c r="O123" s="309"/>
      <c r="P123" s="34" t="s">
        <v>361</v>
      </c>
      <c r="Q123" s="37">
        <f>C43</f>
        <v>1E-3</v>
      </c>
      <c r="R123" s="196">
        <f>C47</f>
        <v>0.99899999999999989</v>
      </c>
      <c r="S123" s="196">
        <f>C45</f>
        <v>1E-3</v>
      </c>
      <c r="T123" s="197">
        <f>C50</f>
        <v>57.997999999999998</v>
      </c>
      <c r="U123" s="301"/>
      <c r="V123" s="34"/>
      <c r="W123" s="34"/>
      <c r="X123" s="290"/>
      <c r="Y123" s="290"/>
      <c r="Z123" s="290"/>
      <c r="AA123" s="310"/>
      <c r="AJ123" s="121"/>
      <c r="AK123" s="121"/>
      <c r="AL123" s="121"/>
      <c r="AM123" s="121"/>
      <c r="AN123" s="120"/>
      <c r="AO123" s="120"/>
      <c r="AP123" s="755">
        <v>0.16999999999999901</v>
      </c>
      <c r="AQ123" s="120"/>
      <c r="AR123" s="120"/>
      <c r="AS123" s="121"/>
      <c r="AT123" s="121"/>
      <c r="AU123" s="121"/>
      <c r="AV123" s="121"/>
      <c r="AW123" s="121"/>
      <c r="AX123" s="121"/>
      <c r="AY123" s="121"/>
      <c r="BR123" s="236"/>
      <c r="BS123" s="120"/>
      <c r="BT123" s="120"/>
      <c r="BU123" s="120"/>
      <c r="BV123" s="120"/>
      <c r="BW123" s="120"/>
      <c r="BX123" s="120"/>
      <c r="BY123" s="120"/>
      <c r="BZ123" s="121"/>
      <c r="CA123" s="121"/>
      <c r="CB123" s="121"/>
      <c r="CC123" s="121"/>
      <c r="CD123" s="121"/>
      <c r="CE123" s="121"/>
      <c r="CF123" s="121"/>
    </row>
    <row r="124" spans="2:84" ht="45">
      <c r="C124" s="767" t="s">
        <v>17</v>
      </c>
      <c r="D124" s="768" t="s">
        <v>40</v>
      </c>
      <c r="E124" s="768" t="s">
        <v>27</v>
      </c>
      <c r="F124" s="768" t="s">
        <v>28</v>
      </c>
      <c r="G124" s="768" t="s">
        <v>10</v>
      </c>
      <c r="H124" s="768" t="s">
        <v>31</v>
      </c>
      <c r="I124" s="768" t="s">
        <v>1902</v>
      </c>
      <c r="J124" s="768" t="s">
        <v>1903</v>
      </c>
      <c r="K124" s="769" t="s">
        <v>453</v>
      </c>
      <c r="O124" s="309"/>
      <c r="P124" s="34"/>
      <c r="Q124" s="34"/>
      <c r="R124" s="34"/>
      <c r="S124" s="34"/>
      <c r="T124" s="34" t="s">
        <v>1933</v>
      </c>
      <c r="U124" s="301">
        <f ca="1">VLOOKUP(X139,O116:W122,7,FALSE)</f>
        <v>2.6394005504473489E-2</v>
      </c>
      <c r="V124" s="822">
        <f ca="1">VLOOKUP(X139,O116:W122,8,FALSE)</f>
        <v>0.10169663892608348</v>
      </c>
      <c r="W124" s="117"/>
      <c r="X124" s="247"/>
      <c r="Y124" s="247"/>
      <c r="Z124" s="247"/>
      <c r="AA124" s="341"/>
      <c r="AJ124" s="120"/>
      <c r="AK124" s="120"/>
      <c r="AL124" s="120"/>
      <c r="AM124" s="120"/>
      <c r="AN124" s="120"/>
      <c r="AO124" s="120"/>
      <c r="AP124" s="176">
        <v>0.159999999999999</v>
      </c>
      <c r="AQ124" s="120"/>
      <c r="AR124" s="120"/>
      <c r="AS124" s="120"/>
      <c r="AT124" s="120"/>
      <c r="AU124" s="120"/>
      <c r="AV124" s="120"/>
      <c r="AW124" s="120"/>
      <c r="AX124" s="120"/>
      <c r="AY124" s="120"/>
      <c r="BR124" s="236"/>
      <c r="BS124" s="120"/>
      <c r="BT124" s="120"/>
      <c r="BU124" s="120"/>
      <c r="BV124" s="120"/>
      <c r="BW124" s="120"/>
      <c r="BX124" s="120"/>
      <c r="BY124" s="120"/>
      <c r="BZ124" s="121"/>
      <c r="CA124" s="121"/>
      <c r="CB124" s="121"/>
      <c r="CC124" s="121"/>
      <c r="CD124" s="121"/>
      <c r="CE124" s="121"/>
      <c r="CF124" s="121"/>
    </row>
    <row r="125" spans="2:84">
      <c r="C125" s="63"/>
      <c r="D125" s="63"/>
      <c r="E125" s="63"/>
      <c r="F125" s="63"/>
      <c r="G125" s="63"/>
      <c r="H125" s="63"/>
      <c r="I125" s="63"/>
      <c r="J125" s="63"/>
      <c r="K125" s="63"/>
      <c r="O125" s="309"/>
      <c r="P125" s="34"/>
      <c r="Q125" s="34"/>
      <c r="R125" s="34"/>
      <c r="S125" s="34"/>
      <c r="T125" s="34"/>
      <c r="U125" s="34"/>
      <c r="V125" s="34"/>
      <c r="W125" s="34" t="s">
        <v>433</v>
      </c>
      <c r="X125" s="293" t="str">
        <f ca="1">IF($C$59=3,"Unit Without RediMount",IF(AND($J$150=1,$J$170&lt;3,$B$150&gt;7,$C$59=2),"No physical match between motor and PC-unit",IF(AND($J$150=1,$J$170=3,$B$150&gt;3,$C$59=2),"No physical match between motor and PC-unit",IF(AND($J$150=2,LEFT($C$150,5)="PMX34"),"No physical match between motor and PC-unit",IF(AND($E$83=2,$J$150=4),$Y$75,IF(OR($E$83=1,$J$150=4),"Check motor and/or gear dimensions in RediMount Tool",IF($E$83=1,"999",VLOOKUP($J$150,$W$75:$Y$77,3,FALSE))))))))</f>
        <v>004</v>
      </c>
      <c r="Y125" s="293" t="str">
        <f ca="1">IF($C$59=3,"Unit Without RediMount",IF(AND($J$150=1,$C$59=2,$J$170&lt;3,$B$150&gt;10),"No physical match between motor and PC-unit",IF(AND($J$150=1,$C$59=2,$J$170=3,$B$150&gt;6),"No physical match between motor and PC-unit",IF(AND($J$150=2,LEFT(K151,5)="PMX34",$C$59=2),"No physical match between motor and PC-unit",IF(AND($E$83=2,$J$150=4),$Y$75,IF(OR($E$83=1,$J$150=4),"Check motor and/or gear dimensions in RediMount Tool",IF($E$83=1,"999",VLOOKUP($J$150,$W$75:$Y$77,3,FALSE))))))))</f>
        <v>004</v>
      </c>
      <c r="Z125" s="293" t="str">
        <f ca="1">IF(AND($E$83=2,$J$150=4,$C$59&lt;&gt;3),$Y$75,IF($C$59=3,"Unit Without RediMount",IF(OR($E$83=1,$J$150=4),"Check motor and/or gear dimensions in RediMount Tool",VLOOKUP($J$150,$W$75:$Y$77,3,FALSE))))</f>
        <v>004</v>
      </c>
      <c r="AA125" s="342"/>
      <c r="AC125" s="46" t="s">
        <v>2023</v>
      </c>
      <c r="AD125" s="46"/>
      <c r="AE125" s="46" t="s">
        <v>2024</v>
      </c>
      <c r="AF125" s="46"/>
      <c r="AG125" s="46"/>
      <c r="AK125" s="122"/>
      <c r="AL125" s="122"/>
      <c r="AM125" s="122"/>
      <c r="AN125" s="120"/>
      <c r="AO125" s="120"/>
      <c r="AP125" s="755">
        <v>0.149999999999999</v>
      </c>
      <c r="AQ125" s="120"/>
      <c r="AR125" s="120"/>
      <c r="AS125" s="120"/>
      <c r="AT125" s="120"/>
      <c r="AU125" s="120"/>
      <c r="AV125" s="122"/>
      <c r="AW125" s="122"/>
      <c r="AX125" s="122"/>
      <c r="AY125" s="122"/>
      <c r="BR125" s="138"/>
      <c r="BS125" s="120"/>
      <c r="BT125" s="120"/>
      <c r="BU125" s="120"/>
      <c r="BV125" s="120"/>
      <c r="BW125" s="120"/>
      <c r="BX125" s="120"/>
      <c r="BY125" s="120"/>
      <c r="BZ125" s="120"/>
      <c r="CA125" s="120"/>
      <c r="CB125" s="120"/>
      <c r="CC125" s="120"/>
      <c r="CD125" s="120"/>
      <c r="CE125" s="120"/>
      <c r="CF125" s="120"/>
    </row>
    <row r="126" spans="2:84" ht="15.75" thickBot="1">
      <c r="B126" t="str">
        <f t="shared" ref="B126:B132" si="26">B7</f>
        <v>PC25…B03</v>
      </c>
      <c r="C126">
        <f t="shared" ref="C126:G132" si="27">N7</f>
        <v>0</v>
      </c>
      <c r="D126" s="765">
        <f t="shared" si="27"/>
        <v>0</v>
      </c>
      <c r="E126" s="765">
        <f t="shared" si="27"/>
        <v>0</v>
      </c>
      <c r="F126" s="765">
        <f t="shared" si="27"/>
        <v>0</v>
      </c>
      <c r="G126" s="765">
        <f t="shared" si="27"/>
        <v>0</v>
      </c>
      <c r="H126">
        <f t="shared" ref="H126:H132" si="28">W7</f>
        <v>0</v>
      </c>
      <c r="I126">
        <f t="shared" ref="I126:I132" si="29">AB7</f>
        <v>0</v>
      </c>
      <c r="J126">
        <f t="shared" ref="J126:J132" si="30">AE7</f>
        <v>0</v>
      </c>
      <c r="K126">
        <f>SUM(C126:J126)</f>
        <v>0</v>
      </c>
      <c r="O126" s="312"/>
      <c r="P126" s="313"/>
      <c r="Q126" s="313"/>
      <c r="R126" s="313"/>
      <c r="S126" s="313"/>
      <c r="T126" s="313"/>
      <c r="U126" s="313"/>
      <c r="V126" s="313"/>
      <c r="W126" s="313"/>
      <c r="X126" s="313"/>
      <c r="Y126" s="313"/>
      <c r="Z126" s="313"/>
      <c r="AA126" s="314"/>
      <c r="AC126" s="46" t="s">
        <v>2025</v>
      </c>
      <c r="AD126" s="46"/>
      <c r="AE126" s="46" t="s">
        <v>2026</v>
      </c>
      <c r="AF126" s="46"/>
      <c r="AG126" s="46"/>
      <c r="AK126" s="120"/>
      <c r="AL126" s="120"/>
      <c r="AM126" s="120"/>
      <c r="AN126" s="120"/>
      <c r="AO126" s="120"/>
      <c r="AP126" s="176">
        <v>0.13999999999999899</v>
      </c>
      <c r="AQ126" s="120"/>
      <c r="AR126" s="120"/>
      <c r="AS126" s="120"/>
      <c r="AT126" s="120"/>
      <c r="AU126" s="120"/>
      <c r="AV126" s="120"/>
      <c r="AW126" s="120"/>
      <c r="AX126" s="120"/>
      <c r="AY126" s="120"/>
      <c r="BR126" s="138"/>
      <c r="BS126" s="120"/>
      <c r="BT126" s="120"/>
      <c r="BU126" s="120"/>
      <c r="BV126" s="120"/>
      <c r="BW126" s="120"/>
      <c r="BX126" s="120"/>
      <c r="BY126" s="120"/>
      <c r="BZ126" s="120"/>
      <c r="CA126" s="120"/>
      <c r="CB126" s="120"/>
      <c r="CC126" s="122"/>
      <c r="CD126" s="122"/>
      <c r="CE126" s="122"/>
      <c r="CF126" s="122"/>
    </row>
    <row r="127" spans="2:84">
      <c r="B127" s="765" t="str">
        <f t="shared" si="26"/>
        <v>PC25…B10</v>
      </c>
      <c r="C127" s="765">
        <f t="shared" si="27"/>
        <v>0</v>
      </c>
      <c r="D127" s="765">
        <f t="shared" si="27"/>
        <v>0</v>
      </c>
      <c r="E127" s="765">
        <f t="shared" si="27"/>
        <v>0</v>
      </c>
      <c r="F127" s="765">
        <f t="shared" si="27"/>
        <v>0</v>
      </c>
      <c r="G127" s="765">
        <f t="shared" si="27"/>
        <v>0</v>
      </c>
      <c r="H127" s="765">
        <f t="shared" si="28"/>
        <v>0</v>
      </c>
      <c r="I127" s="765">
        <f t="shared" si="29"/>
        <v>0</v>
      </c>
      <c r="J127" s="765">
        <f t="shared" si="30"/>
        <v>0</v>
      </c>
      <c r="K127" s="765">
        <f t="shared" ref="K127:K132" si="31">SUM(C127:J127)</f>
        <v>0</v>
      </c>
      <c r="AC127" s="46" t="s">
        <v>2027</v>
      </c>
      <c r="AD127" s="46"/>
      <c r="AE127" s="46" t="s">
        <v>2028</v>
      </c>
      <c r="AF127" s="46"/>
      <c r="AG127" s="46"/>
      <c r="AK127" s="120"/>
      <c r="AL127" s="120"/>
      <c r="AM127" s="120"/>
      <c r="AN127" s="120"/>
      <c r="AO127" s="120"/>
      <c r="AP127" s="755">
        <v>0.12999999999999901</v>
      </c>
      <c r="AQ127" s="120"/>
      <c r="AR127" s="120"/>
      <c r="AS127" s="120"/>
      <c r="AT127" s="120"/>
      <c r="AU127" s="120"/>
      <c r="AV127" s="120"/>
      <c r="AW127" s="120"/>
      <c r="AX127" s="120"/>
      <c r="AY127" s="120"/>
      <c r="BR127" s="138"/>
      <c r="BS127" s="120"/>
      <c r="BT127" s="120"/>
      <c r="BU127" s="120"/>
      <c r="BV127" s="120"/>
      <c r="BW127" s="120"/>
      <c r="BX127" s="120"/>
      <c r="BY127" s="120"/>
      <c r="BZ127" s="120"/>
      <c r="CA127" s="120"/>
      <c r="CB127" s="120"/>
      <c r="CC127" s="120"/>
      <c r="CD127" s="120"/>
      <c r="CE127" s="120"/>
      <c r="CF127" s="120"/>
    </row>
    <row r="128" spans="2:84">
      <c r="B128" s="765" t="str">
        <f t="shared" si="26"/>
        <v>PC32…B04</v>
      </c>
      <c r="C128" s="765">
        <f t="shared" si="27"/>
        <v>0</v>
      </c>
      <c r="D128" s="765">
        <f t="shared" si="27"/>
        <v>0</v>
      </c>
      <c r="E128" s="765">
        <f t="shared" si="27"/>
        <v>0</v>
      </c>
      <c r="F128" s="765">
        <f t="shared" si="27"/>
        <v>0</v>
      </c>
      <c r="G128" s="765">
        <f t="shared" si="27"/>
        <v>0</v>
      </c>
      <c r="H128" s="765">
        <f t="shared" si="28"/>
        <v>0</v>
      </c>
      <c r="I128" s="765">
        <f t="shared" si="29"/>
        <v>0</v>
      </c>
      <c r="J128" s="765">
        <f t="shared" si="30"/>
        <v>0</v>
      </c>
      <c r="K128" s="765">
        <f t="shared" si="31"/>
        <v>0</v>
      </c>
      <c r="P128" t="s">
        <v>1925</v>
      </c>
      <c r="U128" t="s">
        <v>1919</v>
      </c>
      <c r="W128" s="34" t="s">
        <v>1920</v>
      </c>
      <c r="Y128" s="46" t="s">
        <v>2029</v>
      </c>
      <c r="Z128" s="46"/>
      <c r="AA128" s="46"/>
      <c r="AB128" s="46"/>
      <c r="AC128" s="46"/>
      <c r="AD128" s="46"/>
      <c r="AE128" s="46"/>
      <c r="AF128" s="46"/>
      <c r="AG128" s="46"/>
      <c r="AP128" s="176">
        <v>0.119999999999999</v>
      </c>
      <c r="AQ128" s="120"/>
      <c r="AR128" s="120"/>
      <c r="AS128" s="120"/>
      <c r="AT128" s="120"/>
      <c r="AU128" s="120"/>
      <c r="AV128" s="120"/>
      <c r="AW128" s="120"/>
      <c r="AX128" s="120"/>
      <c r="AY128" s="120"/>
      <c r="BR128" s="138"/>
      <c r="BS128" s="120"/>
      <c r="BT128" s="120"/>
      <c r="BU128" s="120"/>
      <c r="BV128" s="120"/>
      <c r="BW128" s="120"/>
      <c r="BX128" s="120"/>
      <c r="BY128" s="120"/>
      <c r="BZ128" s="120"/>
      <c r="CA128" s="120"/>
      <c r="CB128" s="120"/>
      <c r="CC128" s="120"/>
      <c r="CD128" s="120"/>
      <c r="CE128" s="120"/>
      <c r="CF128" s="120"/>
    </row>
    <row r="129" spans="1:84">
      <c r="B129" s="765" t="str">
        <f t="shared" si="26"/>
        <v>PC32…B10</v>
      </c>
      <c r="C129" s="765">
        <f t="shared" si="27"/>
        <v>0</v>
      </c>
      <c r="D129" s="765">
        <f t="shared" si="27"/>
        <v>0</v>
      </c>
      <c r="E129" s="765">
        <f t="shared" si="27"/>
        <v>0</v>
      </c>
      <c r="F129" s="765">
        <f t="shared" si="27"/>
        <v>0</v>
      </c>
      <c r="G129" s="765">
        <f t="shared" si="27"/>
        <v>0</v>
      </c>
      <c r="H129" s="765">
        <f t="shared" si="28"/>
        <v>0</v>
      </c>
      <c r="I129" s="765">
        <f t="shared" si="29"/>
        <v>0</v>
      </c>
      <c r="J129" s="765">
        <f t="shared" si="30"/>
        <v>0</v>
      </c>
      <c r="K129" s="765">
        <f t="shared" si="31"/>
        <v>0</v>
      </c>
      <c r="P129" s="797" t="s">
        <v>1918</v>
      </c>
      <c r="U129" s="811">
        <f>Q123*1000</f>
        <v>1</v>
      </c>
      <c r="V129" t="s">
        <v>14</v>
      </c>
      <c r="W129">
        <v>0</v>
      </c>
      <c r="Y129" s="46" t="s">
        <v>2030</v>
      </c>
      <c r="Z129" s="46" t="s">
        <v>2031</v>
      </c>
      <c r="AA129" s="46"/>
      <c r="AB129" s="46"/>
      <c r="AC129" s="46"/>
      <c r="AD129" s="46"/>
      <c r="AE129" s="46"/>
      <c r="AF129" s="46"/>
      <c r="AG129" s="46"/>
      <c r="AP129" s="755">
        <v>0.109999999999999</v>
      </c>
      <c r="BR129" s="87"/>
      <c r="BS129" s="120"/>
      <c r="BT129" s="120"/>
      <c r="BU129" s="120"/>
      <c r="BV129" s="120"/>
      <c r="BW129" s="120"/>
      <c r="BX129" s="120"/>
      <c r="BY129" s="120"/>
      <c r="BZ129" s="120"/>
      <c r="CA129" s="120"/>
      <c r="CB129" s="120"/>
      <c r="CC129" s="120"/>
      <c r="CD129" s="120"/>
      <c r="CE129" s="120"/>
      <c r="CF129" s="120"/>
    </row>
    <row r="130" spans="1:84">
      <c r="B130" s="765" t="str">
        <f t="shared" si="26"/>
        <v>PC40…B05</v>
      </c>
      <c r="C130" s="765">
        <f t="shared" si="27"/>
        <v>0</v>
      </c>
      <c r="D130" s="765">
        <f t="shared" si="27"/>
        <v>0</v>
      </c>
      <c r="E130" s="765">
        <f t="shared" si="27"/>
        <v>0</v>
      </c>
      <c r="F130" s="765">
        <f t="shared" si="27"/>
        <v>0</v>
      </c>
      <c r="G130" s="765">
        <f t="shared" si="27"/>
        <v>0</v>
      </c>
      <c r="H130" s="765">
        <f t="shared" si="28"/>
        <v>0</v>
      </c>
      <c r="I130" s="765">
        <f t="shared" si="29"/>
        <v>0</v>
      </c>
      <c r="J130" s="765">
        <f t="shared" si="30"/>
        <v>0</v>
      </c>
      <c r="K130" s="765">
        <f t="shared" si="31"/>
        <v>0</v>
      </c>
      <c r="U130" s="811">
        <f>R123*1000</f>
        <v>998.99999999999989</v>
      </c>
      <c r="V130" t="s">
        <v>362</v>
      </c>
      <c r="W130">
        <f>C41*60/4*1000</f>
        <v>15</v>
      </c>
      <c r="Y130" s="46" t="s">
        <v>2032</v>
      </c>
      <c r="Z130" s="46" t="s">
        <v>2033</v>
      </c>
      <c r="AA130" s="46"/>
      <c r="AB130" s="46"/>
      <c r="AC130" s="46"/>
      <c r="AD130" s="46"/>
      <c r="AE130" s="46"/>
      <c r="AF130" s="46"/>
      <c r="AG130" s="46"/>
      <c r="AP130" s="176">
        <v>9.9999999999999006E-2</v>
      </c>
    </row>
    <row r="131" spans="1:84">
      <c r="B131" s="765" t="str">
        <f t="shared" si="26"/>
        <v>PC40…B10</v>
      </c>
      <c r="C131" s="765">
        <f t="shared" si="27"/>
        <v>0</v>
      </c>
      <c r="D131" s="765">
        <f t="shared" si="27"/>
        <v>0</v>
      </c>
      <c r="E131" s="765">
        <f t="shared" si="27"/>
        <v>0</v>
      </c>
      <c r="F131" s="765">
        <f t="shared" si="27"/>
        <v>0</v>
      </c>
      <c r="G131" s="765">
        <f t="shared" si="27"/>
        <v>0</v>
      </c>
      <c r="H131" s="765">
        <f t="shared" si="28"/>
        <v>0</v>
      </c>
      <c r="I131" s="765">
        <f t="shared" si="29"/>
        <v>0</v>
      </c>
      <c r="J131" s="765">
        <f t="shared" si="30"/>
        <v>0</v>
      </c>
      <c r="K131" s="765">
        <f t="shared" si="31"/>
        <v>0</v>
      </c>
      <c r="P131" s="797" t="s">
        <v>1921</v>
      </c>
      <c r="U131" s="811">
        <f>S123*1000</f>
        <v>1</v>
      </c>
      <c r="V131" t="s">
        <v>363</v>
      </c>
      <c r="W131">
        <v>0</v>
      </c>
      <c r="Y131" s="46" t="s">
        <v>2034</v>
      </c>
      <c r="Z131" s="46" t="s">
        <v>2035</v>
      </c>
      <c r="AA131" s="46"/>
      <c r="AB131" s="46"/>
      <c r="AC131" s="46"/>
      <c r="AD131" s="46"/>
      <c r="AE131" s="46"/>
      <c r="AF131" s="46"/>
      <c r="AG131" s="46"/>
      <c r="AP131" s="755">
        <v>8.9999999999998997E-2</v>
      </c>
    </row>
    <row r="132" spans="1:84">
      <c r="B132" s="765" t="str">
        <f t="shared" si="26"/>
        <v>PC40…B20</v>
      </c>
      <c r="C132" s="765">
        <f t="shared" si="27"/>
        <v>0</v>
      </c>
      <c r="D132" s="765">
        <f t="shared" si="27"/>
        <v>0</v>
      </c>
      <c r="E132" s="765">
        <f t="shared" si="27"/>
        <v>0</v>
      </c>
      <c r="F132" s="765">
        <f t="shared" si="27"/>
        <v>0</v>
      </c>
      <c r="G132" s="765">
        <f t="shared" si="27"/>
        <v>0</v>
      </c>
      <c r="H132" s="765">
        <f t="shared" si="28"/>
        <v>0</v>
      </c>
      <c r="I132" s="765">
        <f t="shared" si="29"/>
        <v>0</v>
      </c>
      <c r="J132" s="765">
        <f t="shared" si="30"/>
        <v>0</v>
      </c>
      <c r="K132" s="765">
        <f t="shared" si="31"/>
        <v>0</v>
      </c>
      <c r="U132" s="811">
        <f>T123*1000</f>
        <v>57998</v>
      </c>
      <c r="V132" t="s">
        <v>364</v>
      </c>
      <c r="W132">
        <v>0</v>
      </c>
      <c r="Y132" s="46" t="s">
        <v>2036</v>
      </c>
      <c r="Z132" s="46" t="s">
        <v>2037</v>
      </c>
      <c r="AA132" s="46"/>
      <c r="AB132" s="46"/>
      <c r="AC132" s="46"/>
      <c r="AD132" s="46"/>
      <c r="AE132" s="46"/>
      <c r="AF132" s="46"/>
      <c r="AG132" s="46"/>
      <c r="AP132" s="176">
        <v>7.9999999999999002E-2</v>
      </c>
      <c r="AS132" s="999"/>
    </row>
    <row r="133" spans="1:84">
      <c r="B133" t="s">
        <v>1905</v>
      </c>
      <c r="C133" t="str">
        <f>IF(OR(C126&gt;0,C127&gt;0,C128&gt;0,C129&gt;0,C130&gt;0,C131&gt;0,C132&gt;0),"Too high RPM","")</f>
        <v/>
      </c>
      <c r="D133" s="765" t="str">
        <f>IF(OR(D126&gt;0,D127&gt;0,D128&gt;0,D129&gt;0,D130&gt;0,D131&gt;0,D132&gt;0),"Too high acceleration","")</f>
        <v/>
      </c>
      <c r="E133" s="765" t="str">
        <f>IF(OR(E126&gt;0,E127&gt;0,E128&gt;0,E129&gt;0,E130&gt;0,E131&gt;0,E132&gt;0),"Too high Fx","")</f>
        <v/>
      </c>
      <c r="F133" s="765" t="str">
        <f>IF(OR(F126&gt;0,F127&gt;0,F128&gt;0,F129&gt;0,F130&gt;0,F131&gt;0,F132&gt;0),"Too high Fy","")</f>
        <v/>
      </c>
      <c r="G133" s="765" t="str">
        <f>IF(OR(G126&gt;0,G127&gt;0,G128&gt;0,G129&gt;0,G130&gt;0,G131&gt;0,G132&gt;0),"Stroke to long","")</f>
        <v/>
      </c>
      <c r="H133" s="765" t="str">
        <f>IF(OR(H126&gt;0,H127&gt;0,H128&gt;0,H129&gt;0,H130&gt;0,H131&gt;0,H132&gt;0),"Input torque to high for Redimount","")</f>
        <v/>
      </c>
      <c r="I133" s="765" t="str">
        <f>IF(OR(I126&gt;0,I127&gt;0,I128&gt;0,I129&gt;0,I130&gt;0,I131&gt;0,I132&gt;0),"Above critical speed","")</f>
        <v/>
      </c>
      <c r="J133" s="765" t="str">
        <f>IF(OR(J126&gt;0,J127&gt;0,J128&gt;0,J129&gt;0,J130&gt;0,J131&gt;0,J132&gt;0),"Buckling of screw or extension tube","")</f>
        <v/>
      </c>
      <c r="O133" s="927"/>
      <c r="U133" s="811">
        <f>SUM(U129:U132)</f>
        <v>58999</v>
      </c>
      <c r="V133" t="s">
        <v>1917</v>
      </c>
      <c r="AP133" s="755">
        <v>6.9999999999998994E-2</v>
      </c>
      <c r="AS133" s="999"/>
    </row>
    <row r="134" spans="1:84">
      <c r="B134" t="s">
        <v>1906</v>
      </c>
      <c r="C134">
        <f>SUM(C126:C132)</f>
        <v>0</v>
      </c>
      <c r="D134" s="765">
        <f t="shared" ref="D134:J134" si="32">SUM(D126:D132)</f>
        <v>0</v>
      </c>
      <c r="E134" s="765">
        <f t="shared" si="32"/>
        <v>0</v>
      </c>
      <c r="F134" s="765">
        <f t="shared" si="32"/>
        <v>0</v>
      </c>
      <c r="G134" s="765">
        <f t="shared" si="32"/>
        <v>0</v>
      </c>
      <c r="H134" s="765">
        <f t="shared" si="32"/>
        <v>0</v>
      </c>
      <c r="I134" s="765">
        <f t="shared" si="32"/>
        <v>0</v>
      </c>
      <c r="J134" s="765">
        <f t="shared" si="32"/>
        <v>0</v>
      </c>
      <c r="AP134" s="176">
        <v>5.9999999999999103E-2</v>
      </c>
      <c r="AS134" s="999"/>
    </row>
    <row r="135" spans="1:84" ht="15.75" thickBot="1">
      <c r="B135" t="s">
        <v>1857</v>
      </c>
      <c r="C135" t="str">
        <f>C133&amp;" "&amp;D133&amp;" "&amp;E133&amp;" "&amp;F133&amp;" "&amp;G133&amp;" "&amp;H133&amp;" "&amp;I133&amp;" "&amp;J133</f>
        <v xml:space="preserve">       </v>
      </c>
      <c r="E135" s="57"/>
      <c r="P135" s="797"/>
      <c r="AP135" s="755">
        <v>4.9999999999998997E-2</v>
      </c>
      <c r="AS135" s="999"/>
    </row>
    <row r="136" spans="1:84" ht="24.75" thickTop="1" thickBot="1">
      <c r="P136" s="797"/>
      <c r="W136" s="756" t="s">
        <v>1872</v>
      </c>
      <c r="X136" s="757"/>
      <c r="Y136" s="757" t="s">
        <v>1873</v>
      </c>
      <c r="Z136" s="757"/>
      <c r="AA136" s="757"/>
      <c r="AB136" s="758"/>
      <c r="AC136" s="34"/>
      <c r="AF136" s="20" t="s">
        <v>1928</v>
      </c>
      <c r="AH136" t="s">
        <v>1930</v>
      </c>
      <c r="AP136" s="176">
        <v>3.9999999999999002E-2</v>
      </c>
      <c r="AS136" s="999"/>
    </row>
    <row r="137" spans="1:84" ht="30">
      <c r="A137" s="792" t="s">
        <v>1927</v>
      </c>
      <c r="B137" s="793"/>
      <c r="C137" s="306"/>
      <c r="D137" s="306"/>
      <c r="E137" s="306"/>
      <c r="F137" s="306"/>
      <c r="G137" s="306"/>
      <c r="H137" s="306"/>
      <c r="I137" s="306"/>
      <c r="J137" s="306"/>
      <c r="K137" s="306"/>
      <c r="L137" s="306"/>
      <c r="M137" s="306"/>
      <c r="N137" s="306"/>
      <c r="O137" s="306"/>
      <c r="P137" s="316"/>
      <c r="W137" s="759" t="s">
        <v>458</v>
      </c>
      <c r="X137" s="34" t="s">
        <v>254</v>
      </c>
      <c r="Y137" s="34"/>
      <c r="Z137" s="34"/>
      <c r="AA137" s="358" t="s">
        <v>1908</v>
      </c>
      <c r="AB137" s="770" t="s">
        <v>1907</v>
      </c>
      <c r="AC137" s="143"/>
      <c r="AD137" s="57" t="s">
        <v>1909</v>
      </c>
      <c r="AE137" s="57" t="s">
        <v>1910</v>
      </c>
      <c r="AF137" s="20" t="s">
        <v>1929</v>
      </c>
      <c r="AG137" t="s">
        <v>17</v>
      </c>
      <c r="AH137" t="s">
        <v>360</v>
      </c>
      <c r="AI137" t="s">
        <v>17</v>
      </c>
      <c r="AN137" s="202" t="s">
        <v>1938</v>
      </c>
      <c r="AO137" s="71"/>
      <c r="AP137" s="755">
        <v>2.9999999999999E-2</v>
      </c>
      <c r="AS137" s="999"/>
    </row>
    <row r="138" spans="1:84">
      <c r="A138" s="309"/>
      <c r="B138" s="996" t="s">
        <v>467</v>
      </c>
      <c r="C138" s="997"/>
      <c r="D138" s="997"/>
      <c r="E138" s="997"/>
      <c r="F138" s="998"/>
      <c r="G138" s="34"/>
      <c r="H138" s="34"/>
      <c r="I138" s="34"/>
      <c r="J138" s="34"/>
      <c r="K138" s="34"/>
      <c r="L138" s="34"/>
      <c r="M138" s="34"/>
      <c r="N138" s="34"/>
      <c r="O138" s="34"/>
      <c r="P138" s="310"/>
      <c r="V138">
        <v>1</v>
      </c>
      <c r="W138" s="761" t="str">
        <f ca="1">IF(AE138&lt;&gt;0,"1.","1. PC25, Lead 3 mm")</f>
        <v>1. PC25, Lead 3 mm</v>
      </c>
      <c r="X138" s="87" t="str">
        <f ca="1">IF($J$150=1,Input!K31,"")</f>
        <v>4. PC32, Lead 10 mm</v>
      </c>
      <c r="Y138" s="34" t="s">
        <v>1874</v>
      </c>
      <c r="Z138" s="34"/>
      <c r="AA138" s="34">
        <f ca="1">IF(Input!J49="OK",0,1)</f>
        <v>0</v>
      </c>
      <c r="AB138" s="760">
        <f t="shared" ref="AB138:AB144" si="33">K126</f>
        <v>0</v>
      </c>
      <c r="AC138" s="34"/>
      <c r="AD138">
        <f ca="1">IF($P$87&lt;&gt;0,1,0)</f>
        <v>0</v>
      </c>
      <c r="AE138">
        <f t="shared" ref="AE138:AE144" ca="1" si="34">SUM(AA138:AD138)</f>
        <v>0</v>
      </c>
      <c r="AF138" s="20">
        <f ca="1">VLOOKUP(Input!F49,$AD$149:$AE$199,2,TRUE)</f>
        <v>0.87</v>
      </c>
      <c r="AG138" s="823">
        <f>Input!F49</f>
        <v>20</v>
      </c>
      <c r="AH138">
        <f ca="1">VLOOKUP(X139,V138:AG144,11)</f>
        <v>0.87</v>
      </c>
      <c r="AI138" s="809">
        <f ca="1">VLOOKUP(X139,V138:AG144,12)</f>
        <v>6</v>
      </c>
      <c r="AK138" t="s">
        <v>1933</v>
      </c>
      <c r="AN138" s="996" t="s">
        <v>1937</v>
      </c>
      <c r="AO138" s="998"/>
      <c r="AP138" s="176">
        <v>1.9999999999999001E-2</v>
      </c>
    </row>
    <row r="139" spans="1:84">
      <c r="A139" s="309"/>
      <c r="B139" s="67"/>
      <c r="C139" s="279"/>
      <c r="D139" s="279"/>
      <c r="E139" s="117"/>
      <c r="F139" s="284"/>
      <c r="G139" s="34"/>
      <c r="H139" s="34"/>
      <c r="I139" s="996" t="s">
        <v>465</v>
      </c>
      <c r="J139" s="997"/>
      <c r="K139" s="997"/>
      <c r="L139" s="997"/>
      <c r="M139" s="997"/>
      <c r="N139" s="998"/>
      <c r="O139" s="34"/>
      <c r="P139" s="310"/>
      <c r="V139" s="714">
        <v>2</v>
      </c>
      <c r="W139" s="761" t="str">
        <f ca="1">IF(AE139&lt;&gt;0,"2.","2. PC25, Lead 10 mm")</f>
        <v>2. PC25, Lead 10 mm</v>
      </c>
      <c r="X139" s="87">
        <f ca="1">LOOKUP(X138,W138:W144,V138:V144)</f>
        <v>4</v>
      </c>
      <c r="Y139" s="34" t="s">
        <v>1875</v>
      </c>
      <c r="Z139" s="34"/>
      <c r="AA139" s="34">
        <f ca="1">IF(Input!J50="OK",0,1)</f>
        <v>0</v>
      </c>
      <c r="AB139" s="760">
        <f t="shared" si="33"/>
        <v>0</v>
      </c>
      <c r="AC139" s="34"/>
      <c r="AD139" s="789">
        <f ca="1">IF($P$87&lt;&gt;0,1,0)</f>
        <v>0</v>
      </c>
      <c r="AE139" s="765">
        <f t="shared" ca="1" si="34"/>
        <v>0</v>
      </c>
      <c r="AF139" s="20">
        <f ca="1">VLOOKUP(Input!F50,$AD$149:$AE$199,2,TRUE)</f>
        <v>0.87</v>
      </c>
      <c r="AG139" s="823">
        <f>Input!F50</f>
        <v>6</v>
      </c>
      <c r="AK139" s="46">
        <f ca="1">LOOKUP(AL139,AL140:AL141,AK140:AK141)</f>
        <v>1</v>
      </c>
      <c r="AL139" s="46" t="str">
        <f>Input!H31</f>
        <v>Motor curve</v>
      </c>
      <c r="AN139" s="871" t="s">
        <v>360</v>
      </c>
      <c r="AO139" s="872" t="s">
        <v>17</v>
      </c>
      <c r="AP139" s="755">
        <v>9.9999999999990097E-3</v>
      </c>
    </row>
    <row r="140" spans="1:84">
      <c r="A140" s="309"/>
      <c r="B140" s="67" t="s">
        <v>163</v>
      </c>
      <c r="C140" s="34" t="s">
        <v>422</v>
      </c>
      <c r="D140" s="34" t="s">
        <v>424</v>
      </c>
      <c r="E140" s="282" t="s">
        <v>423</v>
      </c>
      <c r="F140" s="69" t="s">
        <v>425</v>
      </c>
      <c r="G140" s="34"/>
      <c r="H140" s="34"/>
      <c r="I140" s="807" t="s">
        <v>167</v>
      </c>
      <c r="J140" s="808"/>
      <c r="K140" s="152" t="s">
        <v>254</v>
      </c>
      <c r="L140" s="807" t="s">
        <v>168</v>
      </c>
      <c r="M140" s="806"/>
      <c r="N140" s="808"/>
      <c r="O140" s="152" t="s">
        <v>254</v>
      </c>
      <c r="P140" s="310"/>
      <c r="V140">
        <v>3</v>
      </c>
      <c r="W140" s="761" t="str">
        <f ca="1">IF(AE140&lt;&gt;0,"3.","3. PC32, Lead 4 mm")</f>
        <v>3. PC32, Lead 4 mm</v>
      </c>
      <c r="X140" s="34" t="str">
        <f ca="1">LOOKUP(X139,W93:W99,X93:X99)</f>
        <v>PC32LX004B10-01FC1</v>
      </c>
      <c r="Y140" s="34" t="s">
        <v>1876</v>
      </c>
      <c r="Z140" s="34"/>
      <c r="AA140" s="34">
        <f ca="1">IF(Input!J51="OK",0,1)</f>
        <v>0</v>
      </c>
      <c r="AB140" s="760">
        <f t="shared" si="33"/>
        <v>0</v>
      </c>
      <c r="AC140" s="34"/>
      <c r="AD140" s="789">
        <f ca="1">IF($Q$87&lt;&gt;0,1,0)</f>
        <v>0</v>
      </c>
      <c r="AE140" s="765">
        <f t="shared" ca="1" si="34"/>
        <v>0</v>
      </c>
      <c r="AF140" s="20">
        <f ca="1">VLOOKUP(Input!F51,$AD$149:$AE$199,2,TRUE)</f>
        <v>0.87</v>
      </c>
      <c r="AG140" s="823">
        <f>Input!F51</f>
        <v>15</v>
      </c>
      <c r="AK140" s="34">
        <v>1</v>
      </c>
      <c r="AL140" s="34" t="str">
        <f ca="1">IF($J$150=1,"Motor curve","")</f>
        <v>Motor curve</v>
      </c>
      <c r="AN140" s="826">
        <f ca="1">IF(AK139=1,U124,NA())</f>
        <v>2.6394005504473489E-2</v>
      </c>
      <c r="AO140" s="827">
        <f ca="1">IF(AK139=1,V124,NA())</f>
        <v>0.10169663892608348</v>
      </c>
      <c r="AP140" s="176">
        <v>0</v>
      </c>
    </row>
    <row r="141" spans="1:84">
      <c r="A141" s="309"/>
      <c r="B141" s="285">
        <f>IF(IFERROR(LOOKUP(D72,D73:D79)&lt;&gt;D72,1),1,0)</f>
        <v>0</v>
      </c>
      <c r="C141" s="280">
        <f ca="1">IF(J150&lt;&gt;4,IF(IFERROR(FIND(LEFT(Input!E32,3),Input!B32),0)&gt;0,0,1),0)</f>
        <v>0</v>
      </c>
      <c r="D141" s="280">
        <f ca="1">IF(J150&lt;&gt;4,IF(IFERROR(LOOKUP(J141,J143:J144)&lt;&gt;J141,1),1,0),0)</f>
        <v>0</v>
      </c>
      <c r="E141" s="283">
        <f ca="1">IF(J150&lt;&gt;4,IF(IFERROR(LOOKUP(M141,M143:M145)&lt;&gt;M141,1),1,0),0)</f>
        <v>0</v>
      </c>
      <c r="F141" s="286">
        <f ca="1">SUM(B141:E141,B143:D143)</f>
        <v>0</v>
      </c>
      <c r="G141" s="34"/>
      <c r="H141" s="34"/>
      <c r="I141" s="98">
        <f ca="1">IF(J150&lt;=2,LOOKUP(J141,J143:J144,I143:I144),"")</f>
        <v>1</v>
      </c>
      <c r="J141" s="99" t="str">
        <f ca="1">IF($J$150&lt;=2,Input!B34,"")</f>
        <v>No</v>
      </c>
      <c r="K141" s="87" t="str">
        <f ca="1">IF($J$150=1,IF(J141="Yes","2","N"),IF($J$150=2,IF(B358=1,"0","R"),"NA for PMX"))</f>
        <v>N</v>
      </c>
      <c r="L141" s="98">
        <f ca="1">IF(J150&lt;=2,LOOKUP(M141,M143:M145,L143:L145),"")</f>
        <v>3</v>
      </c>
      <c r="M141" s="100" t="str">
        <f ca="1">IF(J150&lt;=2,Input!C34,"")</f>
        <v>R-Resolver (standard)</v>
      </c>
      <c r="N141" s="99"/>
      <c r="O141" s="87" t="str">
        <f ca="1">IF($J$150=1,IF(M141="R-Resolver (standard)",LEFT(M141,1),LEFT(M141,2))&amp;"-00",IF($J$150=2,"-"&amp;IF(E358=1,"00","01"),"NA for PMX"))</f>
        <v>R-00</v>
      </c>
      <c r="P141" s="310"/>
      <c r="V141">
        <v>4</v>
      </c>
      <c r="W141" s="761" t="str">
        <f ca="1">IF(AE141&lt;&gt;0,"4.","4. PC32, Lead 10 mm")</f>
        <v>4. PC32, Lead 10 mm</v>
      </c>
      <c r="X141" s="34"/>
      <c r="Y141" s="34"/>
      <c r="Z141" s="34"/>
      <c r="AA141" s="34">
        <f ca="1">IF(Input!J52="OK",0,1)</f>
        <v>0</v>
      </c>
      <c r="AB141" s="760">
        <f t="shared" si="33"/>
        <v>0</v>
      </c>
      <c r="AC141" s="34"/>
      <c r="AD141" s="789">
        <f ca="1">IF($Q$87&lt;&gt;0,1,0)</f>
        <v>0</v>
      </c>
      <c r="AE141" s="765">
        <f t="shared" ca="1" si="34"/>
        <v>0</v>
      </c>
      <c r="AF141" s="20">
        <f ca="1">VLOOKUP(Input!F52,$AD$149:$AE$199,2,TRUE)</f>
        <v>0.87</v>
      </c>
      <c r="AG141" s="823">
        <f>Input!F52</f>
        <v>6</v>
      </c>
      <c r="AK141">
        <v>2</v>
      </c>
      <c r="AL141" t="str">
        <f ca="1">IF($J$150=1,"Performance curve","")</f>
        <v>Performance curve</v>
      </c>
      <c r="AN141" s="137" t="str">
        <f ca="1">IF($J$150&lt;&gt;1,"",IF($AK$139=1,"Working point (Mean rpm, T RMS)","Not applicable"))</f>
        <v>Working point (Mean rpm, T RMS)</v>
      </c>
      <c r="AO141" s="90"/>
    </row>
    <row r="142" spans="1:84">
      <c r="A142" s="309"/>
      <c r="B142" s="67" t="s">
        <v>426</v>
      </c>
      <c r="C142" s="280" t="s">
        <v>470</v>
      </c>
      <c r="D142" s="280" t="s">
        <v>375</v>
      </c>
      <c r="E142" s="797"/>
      <c r="F142" s="123"/>
      <c r="G142" s="34"/>
      <c r="H142" s="34"/>
      <c r="I142" s="104"/>
      <c r="J142" s="102"/>
      <c r="K142" s="34"/>
      <c r="L142" s="104"/>
      <c r="M142" s="126"/>
      <c r="N142" s="102"/>
      <c r="O142" s="34"/>
      <c r="P142" s="310"/>
      <c r="V142">
        <v>5</v>
      </c>
      <c r="W142" s="761" t="str">
        <f ca="1">IF(AE142&lt;&gt;0,"5.","5. PC40, Lead 5 mm")</f>
        <v>5. PC40, Lead 5 mm</v>
      </c>
      <c r="X142" s="34"/>
      <c r="Y142" s="34"/>
      <c r="Z142" s="34"/>
      <c r="AA142" s="34">
        <f ca="1">IF(Input!J53="OK",0,1)</f>
        <v>0</v>
      </c>
      <c r="AB142" s="760">
        <f t="shared" si="33"/>
        <v>0</v>
      </c>
      <c r="AC142" s="34"/>
      <c r="AD142" s="789">
        <f>IF($R$87&lt;&gt;0,1,0)</f>
        <v>0</v>
      </c>
      <c r="AE142" s="765">
        <f t="shared" ca="1" si="34"/>
        <v>0</v>
      </c>
      <c r="AF142" s="20">
        <f ca="1">VLOOKUP(Input!F53,$AD$149:$AE$199,2,TRUE)</f>
        <v>0.87</v>
      </c>
      <c r="AG142" s="823">
        <f>Input!F53</f>
        <v>12</v>
      </c>
      <c r="AK142" s="46" t="s">
        <v>1934</v>
      </c>
      <c r="AL142" s="46" t="str">
        <f ca="1">IF(AK139=1,"Motor perfomance of"&amp;"  "&amp; T147,"Performance of" &amp; "  "&amp;X140&amp;" "&amp;"and"&amp;" " &amp;T147)</f>
        <v>Motor perfomance of  AKM22E</v>
      </c>
      <c r="AM142" s="46"/>
      <c r="AN142" s="46"/>
    </row>
    <row r="143" spans="1:84">
      <c r="A143" s="309"/>
      <c r="B143" s="285">
        <f>IF(IFERROR(D72="-",1),1,0)</f>
        <v>0</v>
      </c>
      <c r="C143" s="280">
        <f ca="1">IF(J150=1,IF(IFERROR(FIND(LEFT(Input!E32,6),Data!C150),0)&gt;0,0,1),0)</f>
        <v>0</v>
      </c>
      <c r="D143" s="280">
        <f ca="1">IF(OR(J150=1,J150=2),IF(IFERROR(LOOKUP(K170,K171:K173),0)&lt;&gt;K170,1,0),0)</f>
        <v>0</v>
      </c>
      <c r="E143" s="797"/>
      <c r="F143" s="123"/>
      <c r="G143" s="34"/>
      <c r="H143" s="34"/>
      <c r="I143" s="67">
        <v>1</v>
      </c>
      <c r="J143" s="68" t="str">
        <f ca="1">IF($J$150=1,"No",IF($J$150=2,"No Shaft",""))</f>
        <v>No</v>
      </c>
      <c r="K143" s="34"/>
      <c r="L143" s="67">
        <v>1</v>
      </c>
      <c r="M143" s="34" t="str">
        <f ca="1">IF($J$150=2,"No Shaft Seal",IF(AND($J$150=1,(LEFT(C149,4)&lt;&gt;"AKM1")),"DA-Singleturn Absolute Encoder",""))</f>
        <v>DA-Singleturn Absolute Encoder</v>
      </c>
      <c r="N143" s="68"/>
      <c r="O143" s="34"/>
      <c r="P143" s="310"/>
      <c r="V143">
        <v>6</v>
      </c>
      <c r="W143" s="761" t="str">
        <f ca="1">IF(AE143&lt;&gt;0,"6.","6. PC40, Lead 10 mm")</f>
        <v>6. PC40, Lead 10 mm</v>
      </c>
      <c r="X143" s="34"/>
      <c r="Y143" s="34"/>
      <c r="Z143" s="34"/>
      <c r="AA143" s="34">
        <f ca="1">IF(Input!J54="OK",0,1)</f>
        <v>0</v>
      </c>
      <c r="AB143" s="760">
        <f t="shared" si="33"/>
        <v>0</v>
      </c>
      <c r="AC143" s="34"/>
      <c r="AD143" s="789">
        <f>IF($R$87&lt;&gt;0,1,0)</f>
        <v>0</v>
      </c>
      <c r="AE143" s="765">
        <f t="shared" ca="1" si="34"/>
        <v>0</v>
      </c>
      <c r="AF143" s="20">
        <f ca="1">VLOOKUP(Input!F54,$AD$149:$AE$199,2,TRUE)</f>
        <v>0.87</v>
      </c>
      <c r="AG143" s="823">
        <f>Input!F54</f>
        <v>6</v>
      </c>
      <c r="AK143" s="46" t="s">
        <v>1935</v>
      </c>
      <c r="AL143" s="46" t="str">
        <f ca="1">IF(AK139=1,"Speed [rpm]", "Load [N]")</f>
        <v>Speed [rpm]</v>
      </c>
      <c r="AQ143" s="1000" t="s">
        <v>1938</v>
      </c>
      <c r="AR143" s="1001"/>
      <c r="AS143" s="1001"/>
      <c r="AT143" s="1002"/>
    </row>
    <row r="144" spans="1:84">
      <c r="A144" s="309"/>
      <c r="B144" s="287"/>
      <c r="C144" s="125"/>
      <c r="D144" s="125"/>
      <c r="E144" s="125"/>
      <c r="F144" s="124"/>
      <c r="G144" s="34"/>
      <c r="H144" s="34"/>
      <c r="I144" s="72">
        <v>2</v>
      </c>
      <c r="J144" s="90" t="str">
        <f ca="1">IF($J$150=1,"Yes",IF($J$150=2,"Rear Shaft",""))</f>
        <v>Yes</v>
      </c>
      <c r="K144" s="34"/>
      <c r="L144" s="67">
        <v>2</v>
      </c>
      <c r="M144" s="34" t="str">
        <f ca="1">IF($J$150=2,"Shaft Seal",IF(AND($J$150=1,LEFT(C149,4)&lt;&gt;"AKM1"),"DB-Multiturn Absolute Encoder",""))</f>
        <v>DB-Multiturn Absolute Encoder</v>
      </c>
      <c r="N144" s="68"/>
      <c r="O144" s="34"/>
      <c r="P144" s="310"/>
      <c r="V144">
        <v>7</v>
      </c>
      <c r="W144" s="761" t="str">
        <f ca="1">IF(AE144&lt;&gt;0,"7.","7. PC40, Lead 20 mm")</f>
        <v>7. PC40, Lead 20 mm</v>
      </c>
      <c r="X144" s="34"/>
      <c r="Y144" s="34"/>
      <c r="Z144" s="34"/>
      <c r="AA144" s="34">
        <f ca="1">IF(Input!J55="OK",0,1)</f>
        <v>0</v>
      </c>
      <c r="AB144" s="760">
        <f t="shared" si="33"/>
        <v>0</v>
      </c>
      <c r="AC144" s="34"/>
      <c r="AD144" s="789">
        <f>IF($R$87&lt;&gt;0,1,0)</f>
        <v>0</v>
      </c>
      <c r="AE144" s="765">
        <f t="shared" ca="1" si="34"/>
        <v>0</v>
      </c>
      <c r="AF144" s="20">
        <f ca="1">VLOOKUP(Input!F55,$AD$149:$AE$199,2,TRUE)</f>
        <v>0.87</v>
      </c>
      <c r="AG144" s="823">
        <f>Input!F55</f>
        <v>3</v>
      </c>
      <c r="AK144" s="46" t="s">
        <v>1936</v>
      </c>
      <c r="AL144" s="46" t="str">
        <f ca="1">IF(AK139=1,"Torque [Nm]", "Speed [mm/s]")</f>
        <v>Torque [Nm]</v>
      </c>
      <c r="AQ144" s="996" t="str">
        <f ca="1">IF($J$150=1,"Continuous","")</f>
        <v>Continuous</v>
      </c>
      <c r="AR144" s="998"/>
      <c r="AS144" s="996" t="str">
        <f ca="1">IF($J$150=1,"Intermittent","")</f>
        <v>Intermittent</v>
      </c>
      <c r="AT144" s="998"/>
    </row>
    <row r="145" spans="1:51" ht="15.75" thickBot="1">
      <c r="A145" s="309"/>
      <c r="B145" s="34"/>
      <c r="C145" s="34"/>
      <c r="D145" s="34"/>
      <c r="E145" s="57" t="s">
        <v>485</v>
      </c>
      <c r="F145" s="57"/>
      <c r="G145" s="57"/>
      <c r="H145" s="57"/>
      <c r="I145" s="34"/>
      <c r="J145" s="34"/>
      <c r="K145" s="34"/>
      <c r="L145" s="72">
        <v>3</v>
      </c>
      <c r="M145" s="89" t="str">
        <f ca="1">IF($J$150=1,"R-Resolver (standard)","")</f>
        <v>R-Resolver (standard)</v>
      </c>
      <c r="N145" s="90"/>
      <c r="O145" s="34"/>
      <c r="P145" s="310"/>
      <c r="W145" s="762"/>
      <c r="X145" s="763"/>
      <c r="Y145" s="763"/>
      <c r="Z145" s="763"/>
      <c r="AA145" s="763"/>
      <c r="AB145" s="764"/>
      <c r="AC145" s="34"/>
      <c r="AD145" s="789"/>
      <c r="AQ145" t="s">
        <v>1939</v>
      </c>
      <c r="AR145" s="776" t="s">
        <v>1940</v>
      </c>
      <c r="AS145" s="825" t="s">
        <v>1939</v>
      </c>
      <c r="AT145" s="825" t="s">
        <v>1940</v>
      </c>
      <c r="AV145" s="873"/>
      <c r="AW145" s="873"/>
      <c r="AX145" s="873"/>
      <c r="AY145" s="873"/>
    </row>
    <row r="146" spans="1:51" ht="15.75" thickTop="1">
      <c r="A146" s="309"/>
      <c r="B146" s="1003" t="s">
        <v>182</v>
      </c>
      <c r="C146" s="1005"/>
      <c r="D146" s="34"/>
      <c r="E146" s="34"/>
      <c r="F146" s="34"/>
      <c r="G146" s="34"/>
      <c r="H146" s="34"/>
      <c r="I146" s="34"/>
      <c r="J146" s="34"/>
      <c r="K146" s="34"/>
      <c r="L146" s="34"/>
      <c r="M146" s="34"/>
      <c r="N146" s="34"/>
      <c r="O146" s="34"/>
      <c r="P146" s="310"/>
      <c r="AD146" t="s">
        <v>1914</v>
      </c>
      <c r="AG146" t="s">
        <v>1915</v>
      </c>
      <c r="AH146" s="776"/>
      <c r="AQ146">
        <f ca="1">IF($AK$139=2,U149,AE149)</f>
        <v>0.87</v>
      </c>
      <c r="AR146" s="824">
        <f ca="1">IF($AK$139=2,AA149,AD149)</f>
        <v>0</v>
      </c>
      <c r="AS146">
        <f ca="1">IF($AK$139=2,W149,AH149)</f>
        <v>2.7600000000000002</v>
      </c>
      <c r="AT146">
        <f ca="1">IF($AK$139=2,X149,AG149)</f>
        <v>0</v>
      </c>
      <c r="AW146" s="873"/>
      <c r="AX146" s="873"/>
      <c r="AY146" s="873"/>
    </row>
    <row r="147" spans="1:51">
      <c r="A147" s="309"/>
      <c r="B147" s="79"/>
      <c r="C147" s="73"/>
      <c r="D147" s="82" t="s">
        <v>100</v>
      </c>
      <c r="E147" s="82" t="s">
        <v>101</v>
      </c>
      <c r="F147" s="82" t="s">
        <v>102</v>
      </c>
      <c r="G147" s="82" t="s">
        <v>1922</v>
      </c>
      <c r="H147" s="802" t="s">
        <v>79</v>
      </c>
      <c r="I147" s="34"/>
      <c r="J147" s="34"/>
      <c r="K147" s="34"/>
      <c r="L147" s="34"/>
      <c r="M147" s="34"/>
      <c r="N147" s="34"/>
      <c r="O147" s="34"/>
      <c r="P147" s="310"/>
      <c r="S147" s="50" t="s">
        <v>434</v>
      </c>
      <c r="T147" s="248" t="str">
        <f>Input!E32</f>
        <v>AKM22E</v>
      </c>
      <c r="U147" s="1008" t="s">
        <v>1878</v>
      </c>
      <c r="V147" s="1009"/>
      <c r="W147" s="1008" t="s">
        <v>1879</v>
      </c>
      <c r="X147" s="1009"/>
      <c r="Y147" s="1008" t="s">
        <v>1879</v>
      </c>
      <c r="Z147" s="1009"/>
      <c r="AA147" s="785" t="s">
        <v>1878</v>
      </c>
      <c r="AB147" s="776"/>
      <c r="AH147" s="776"/>
      <c r="AQ147" s="824">
        <f ca="1">IF($AK$139=2,U150,AE150)</f>
        <v>0.86680000000000001</v>
      </c>
      <c r="AR147" s="824">
        <f t="shared" ref="AR147:AR196" ca="1" si="35">IF($AK$139=2,AA150,AD150)</f>
        <v>160</v>
      </c>
      <c r="AS147" s="824">
        <f t="shared" ref="AS147:AS197" ca="1" si="36">IF($AK$139=2,W150,AH150)</f>
        <v>2.7600000000000002</v>
      </c>
      <c r="AT147" s="824">
        <f t="shared" ref="AT147:AT197" ca="1" si="37">IF($AK$139=2,X150,AG150)</f>
        <v>5148.3999999999996</v>
      </c>
      <c r="AV147" s="873"/>
      <c r="AW147" s="873"/>
      <c r="AX147" s="873"/>
      <c r="AY147" s="873"/>
    </row>
    <row r="148" spans="1:51">
      <c r="A148" s="309"/>
      <c r="B148" s="67"/>
      <c r="C148" s="34"/>
      <c r="D148" s="279" t="s">
        <v>7</v>
      </c>
      <c r="E148" s="279" t="s">
        <v>7</v>
      </c>
      <c r="F148" s="279" t="s">
        <v>7</v>
      </c>
      <c r="G148" s="279" t="s">
        <v>17</v>
      </c>
      <c r="H148" s="83" t="s">
        <v>80</v>
      </c>
      <c r="I148" s="34"/>
      <c r="J148" s="79"/>
      <c r="K148" s="73"/>
      <c r="L148" s="73"/>
      <c r="M148" s="73"/>
      <c r="N148" s="73"/>
      <c r="O148" s="71"/>
      <c r="P148" s="310"/>
      <c r="S148" s="366" t="s">
        <v>1877</v>
      </c>
      <c r="T148" s="248" t="str">
        <f>Input!C32</f>
        <v>240</v>
      </c>
      <c r="U148" s="715" t="s">
        <v>12</v>
      </c>
      <c r="V148" s="715" t="s">
        <v>1855</v>
      </c>
      <c r="W148" s="781" t="s">
        <v>12</v>
      </c>
      <c r="X148" s="781" t="s">
        <v>1855</v>
      </c>
      <c r="Y148" s="779" t="s">
        <v>12</v>
      </c>
      <c r="Z148" s="786" t="s">
        <v>1911</v>
      </c>
      <c r="AA148" s="777" t="s">
        <v>1855</v>
      </c>
      <c r="AB148" s="772"/>
      <c r="AD148" t="s">
        <v>17</v>
      </c>
      <c r="AE148" t="s">
        <v>360</v>
      </c>
      <c r="AG148" t="s">
        <v>17</v>
      </c>
      <c r="AH148" s="776" t="s">
        <v>360</v>
      </c>
      <c r="AQ148" s="824">
        <f t="shared" ref="AQ148:AQ196" ca="1" si="38">IF($AK$139=2,U151,AE151)</f>
        <v>0.86360000000000003</v>
      </c>
      <c r="AR148" s="824">
        <f t="shared" ca="1" si="35"/>
        <v>320</v>
      </c>
      <c r="AS148" s="824">
        <f t="shared" ca="1" si="36"/>
        <v>2.7194116923076921</v>
      </c>
      <c r="AT148" s="824">
        <f t="shared" ca="1" si="37"/>
        <v>5224.8</v>
      </c>
      <c r="AV148" s="873"/>
      <c r="AW148" s="873"/>
      <c r="AX148" s="873"/>
      <c r="AY148" s="873"/>
    </row>
    <row r="149" spans="1:51">
      <c r="A149" s="309"/>
      <c r="B149" s="67"/>
      <c r="C149" s="34" t="str">
        <f ca="1">IF($J$150=1,Input!$E$32,"Customer Supplied")</f>
        <v>AKM22E</v>
      </c>
      <c r="D149" s="84">
        <f ca="1">IF($J$150=4,L156,D150)</f>
        <v>0.87</v>
      </c>
      <c r="E149" s="84">
        <f ca="1">IF($J$150=4,L157,E150)</f>
        <v>2.76</v>
      </c>
      <c r="F149" s="84">
        <f ca="1">IF($J$150=4,L158,F150)</f>
        <v>0.7</v>
      </c>
      <c r="G149" s="84">
        <f ca="1">IF($J$150=4,L159,G150)</f>
        <v>8000</v>
      </c>
      <c r="H149" s="85">
        <f ca="1">IF($J$150=4,L160,H150)</f>
        <v>0.16</v>
      </c>
      <c r="I149" s="34"/>
      <c r="J149" s="106" t="s">
        <v>164</v>
      </c>
      <c r="K149" s="34"/>
      <c r="L149" s="34"/>
      <c r="M149" s="107" t="s">
        <v>143</v>
      </c>
      <c r="N149" s="34"/>
      <c r="O149" s="68"/>
      <c r="P149" s="310"/>
      <c r="S149" t="s">
        <v>1923</v>
      </c>
      <c r="T149" s="810">
        <f ca="1">IF($J$150=1,Calc!B71,G149)</f>
        <v>8000</v>
      </c>
      <c r="U149" s="48">
        <f ca="1">IF(AND($X$139=7,$AA$144=0,$AB$144=0),'PC40 Graphs'!$B5,IF(AND($X$139=6,$AA$143=0,$AB$143=0),'PC40 Graphs'!$D5,IF(AND($X$139=5,$AA$142=0,$AB$142=0),'PC40 Graphs'!$F5,IF(AND($X$139=4,$AA$141=0,$AB$141=0),'PC32 Graphs'!$B5,IF(AND($X$139=3,$AA$140=0,$AB$140=0),'PC32 Graphs'!$D5,IF(AND($X$139=2,$AA$139=0,$AB$139=0),'PC25 Graphs'!$B6,IF(AND($X$139=1,$AA$138=0,$AB$138=0),'PC25 Graphs'!$D6)))))))</f>
        <v>0</v>
      </c>
      <c r="V149" s="48">
        <f ca="1">IF(AND($X$139=7,$AA$144=0,$AB$144=0),'PC40 Graphs'!$C5,IF(AND($X$139=6,$AA$143=0,$AB$143=0),'PC40 Graphs'!$E5,IF(AND($X$139=5,$AA$142=0,$AB$142=0),'PC40 Graphs'!$G5,IF(AND($X$139=4,$AA$141=0,$AB$141=0),'PC32 Graphs'!$C5,IF(AND($X$139=3,$AA$140=0,$AB$140=0),'PC32 Graphs'!$E5,IF(AND($X$139=2,$AA$139=0,$AB$139=0),'PC25 Graphs'!$C6,IF(AND($X$139=1,$AA$138=0,$AB$138=0),'PC25 Graphs'!$E6)))))))</f>
        <v>303</v>
      </c>
      <c r="W149" s="782">
        <f ca="1">IF(AND($X$139=7,$AA$144=0,$AB$144=0),'PC40 Graphs'!$B63,IF(AND($X$139=6,$AA$143=0,$AB$143=0),'PC40 Graphs'!$D63,IF(AND($X$139=5,$AA$142=0,$AB$142=0),'PC40 Graphs'!$F63,IF(AND($X$139=4,$AA$141=0,$AB$141=0),'PC32 Graphs'!$B62,IF(AND($X$139=3,$AA$140=0,$AB$140=0),'PC32 Graphs'!$D62,IF(AND($X$139=2,$AA$139=0,$AB$139=0),'PC25 Graphs'!$B63,IF(AND($X$139=1,$AA$138=0,$AB$138=0),'PC25 Graphs'!$D63)))))))</f>
        <v>0</v>
      </c>
      <c r="X149" s="783">
        <f ca="1">IF(AND($X$139=7,$AA$144=0,$AB$144=0),'PC40 Graphs'!L63,IF(AND($X$139=6,$AA$143=0,$AB$143=0),'PC40 Graphs'!N63,IF(AND($X$139=5,$AA$142=0,$AB$142=0),'PC40 Graphs'!P63,IF(AND($X$139=4,$AA$141=0,$AB$141=0),'PC32 Graphs'!L62,IF(AND($X$139=3,$AA$140=0,$AB$140=0),'PC32 Graphs'!N62,IF(AND($X$139=2,$AA$139=0,$AB$139=0),'PC25 Graphs'!L63,IF(AND($X$139=1,$AA$138=0,$AB$138=0),'PC25 Graphs'!N63)))))))</f>
        <v>1158</v>
      </c>
      <c r="Y149" s="787">
        <f t="shared" ref="Y149:Y180" ca="1" si="39">U149</f>
        <v>0</v>
      </c>
      <c r="Z149" s="780">
        <f t="shared" ref="Z149:Z180" ca="1" si="40">VLOOKUP(U149,$W$148:$X$200,2)</f>
        <v>1158</v>
      </c>
      <c r="AA149" s="778">
        <f t="shared" ref="AA149:AA180" ca="1" si="41">IF(V149&gt;Z149,Z149,V149)</f>
        <v>303</v>
      </c>
      <c r="AB149" s="776"/>
      <c r="AD149">
        <f>Calc!B86</f>
        <v>0</v>
      </c>
      <c r="AE149">
        <f ca="1">Calc!A86</f>
        <v>0.87</v>
      </c>
      <c r="AG149">
        <f>Calc!B20</f>
        <v>0</v>
      </c>
      <c r="AH149" s="776">
        <f ca="1">Calc!A20</f>
        <v>2.7600000000000002</v>
      </c>
      <c r="AQ149" s="824">
        <f t="shared" ca="1" si="38"/>
        <v>0.86040000000000005</v>
      </c>
      <c r="AR149" s="824">
        <f t="shared" ca="1" si="35"/>
        <v>480</v>
      </c>
      <c r="AS149" s="824">
        <f t="shared" ca="1" si="36"/>
        <v>2.6782269890109891</v>
      </c>
      <c r="AT149" s="824">
        <f t="shared" ca="1" si="37"/>
        <v>5302.7</v>
      </c>
      <c r="AV149" s="873"/>
      <c r="AW149" s="873"/>
      <c r="AX149" s="873"/>
      <c r="AY149" s="873"/>
    </row>
    <row r="150" spans="1:51">
      <c r="A150" s="309"/>
      <c r="B150" s="86">
        <f ca="1">IF(J150=2,LOOKUP(C149,$C$151:$C$158,$B$151:$B$158),IF(AND(J150=1,J170=3),LOOKUP(C149,Data!$C$151:$C$160,Data!$B$151:$B$160),LOOKUP(C149,Data!$C$151:$C$164,Data!$B$151:$B$164)))</f>
        <v>5</v>
      </c>
      <c r="C150" s="87" t="str">
        <f ca="1">VLOOKUP($B$150,$B$151:$H$174,2)</f>
        <v>AKM22E</v>
      </c>
      <c r="D150" s="87">
        <f ca="1">VLOOKUP($B$150,$B$151:$H$174,3)</f>
        <v>0.87</v>
      </c>
      <c r="E150" s="87">
        <f ca="1">VLOOKUP($B$150,$B$151:$H$174,4)</f>
        <v>2.76</v>
      </c>
      <c r="F150" s="87">
        <f ca="1">VLOOKUP($B$150,$B$151:$H$174,5)</f>
        <v>0.7</v>
      </c>
      <c r="G150" s="87">
        <f ca="1">VLOOKUP($B$150,$B$151:$H$174,6)</f>
        <v>8000</v>
      </c>
      <c r="H150" s="88">
        <f ca="1">VLOOKUP($B$150,$B$151:$H$174,7)</f>
        <v>0.16</v>
      </c>
      <c r="I150" s="34"/>
      <c r="J150" s="86">
        <f ca="1">LOOKUP(Input!$B$32,Data!$K$151:$K$152,Data!$J$151:$J$153)</f>
        <v>1</v>
      </c>
      <c r="K150" s="87" t="str">
        <f>Input!$B$32</f>
        <v>1. Kollmorgen AKM Servo</v>
      </c>
      <c r="L150" s="34"/>
      <c r="M150" s="279">
        <f ca="1">IF(J150=3,1.6,1)</f>
        <v>1</v>
      </c>
      <c r="N150" s="34" t="s">
        <v>144</v>
      </c>
      <c r="O150" s="68"/>
      <c r="P150" s="310"/>
      <c r="U150" s="723">
        <f ca="1">IF(AND($X$139=7,$AA$144=0,$AB$144=0),'PC40 Graphs'!$B6,IF(AND($X$139=6,$AA$143=0,$AB$143=0),'PC40 Graphs'!$D6,IF(AND($X$139=5,$AA$142=0,$AB$142=0),'PC40 Graphs'!$F6,IF(AND($X$139=4,$AA$141=0,$AB$141=0),'PC32 Graphs'!$B6,IF(AND($X$139=3,$AA$140=0,$AB$140=0),'PC32 Graphs'!$D6,IF(AND($X$139=2,$AA$139=0,$AB$139=0),'PC25 Graphs'!$B7,IF(AND($X$139=1,$AA$138=0,$AB$138=0),'PC25 Graphs'!$D7)))))))</f>
        <v>26.666666666666664</v>
      </c>
      <c r="V150" s="48">
        <f ca="1">IF(AND($X$139=7,$AA$144=0,$AB$144=0),'PC40 Graphs'!$C6,IF(AND($X$139=6,$AA$143=0,$AB$143=0),'PC40 Graphs'!$E6,IF(AND($X$139=5,$AA$142=0,$AB$142=0),'PC40 Graphs'!$G6,IF(AND($X$139=4,$AA$141=0,$AB$141=0),'PC32 Graphs'!$C6,IF(AND($X$139=3,$AA$140=0,$AB$140=0),'PC32 Graphs'!$E6,IF(AND($X$139=2,$AA$139=0,$AB$139=0),'PC25 Graphs'!$C7,IF(AND($X$139=1,$AA$138=0,$AB$138=0),'PC25 Graphs'!$E7)))))))</f>
        <v>296</v>
      </c>
      <c r="W150" s="782">
        <f ca="1">IF(AND($X$139=7,$AA$144=0,$AB$144=0),'PC40 Graphs'!$B64,IF(AND($X$139=6,$AA$143=0,$AB$143=0),'PC40 Graphs'!$D64,IF(AND($X$139=5,$AA$142=0,$AB$142=0),'PC40 Graphs'!$F64,IF(AND($X$139=4,$AA$141=0,$AB$141=0),'PC32 Graphs'!$B63,IF(AND($X$139=3,$AA$140=0,$AB$140=0),'PC32 Graphs'!$D63,IF(AND($X$139=2,$AA$139=0,$AB$139=0),'PC25 Graphs'!$B64,IF(AND($X$139=1,$AA$138=0,$AB$138=0),'PC25 Graphs'!$D64)))))))</f>
        <v>858.06666666666661</v>
      </c>
      <c r="X150" s="783">
        <f ca="1">IF(AND($X$139=7,$AA$144=0,$AB$144=0),'PC40 Graphs'!L64,IF(AND($X$139=6,$AA$143=0,$AB$143=0),'PC40 Graphs'!N64,IF(AND($X$139=5,$AA$142=0,$AB$142=0),'PC40 Graphs'!P64,IF(AND($X$139=4,$AA$141=0,$AB$141=0),'PC32 Graphs'!L63,IF(AND($X$139=3,$AA$140=0,$AB$140=0),'PC32 Graphs'!N63,IF(AND($X$139=2,$AA$139=0,$AB$139=0),'PC25 Graphs'!L64,IF(AND($X$139=1,$AA$138=0,$AB$138=0),'PC25 Graphs'!N64)))))))</f>
        <v>1002</v>
      </c>
      <c r="Y150" s="787">
        <f t="shared" ca="1" si="39"/>
        <v>26.666666666666664</v>
      </c>
      <c r="Z150" s="780">
        <f t="shared" ca="1" si="40"/>
        <v>1158</v>
      </c>
      <c r="AA150" s="778">
        <f t="shared" ca="1" si="41"/>
        <v>296</v>
      </c>
      <c r="AB150" s="776"/>
      <c r="AD150" s="797">
        <f ca="1">Calc!B87</f>
        <v>160</v>
      </c>
      <c r="AE150" s="797">
        <f ca="1">Calc!A87</f>
        <v>0.86680000000000001</v>
      </c>
      <c r="AG150" s="797">
        <f ca="1">Calc!B21</f>
        <v>5148.3999999999996</v>
      </c>
      <c r="AH150" s="797">
        <f ca="1">Calc!A21</f>
        <v>2.7600000000000002</v>
      </c>
      <c r="AQ150" s="824">
        <f t="shared" ca="1" si="38"/>
        <v>0.85720000000000007</v>
      </c>
      <c r="AR150" s="824">
        <f t="shared" ca="1" si="35"/>
        <v>640</v>
      </c>
      <c r="AS150" s="824">
        <f t="shared" ca="1" si="36"/>
        <v>2.6364458901098904</v>
      </c>
      <c r="AT150" s="824">
        <f t="shared" ca="1" si="37"/>
        <v>5382.1</v>
      </c>
      <c r="AV150" s="873"/>
      <c r="AW150" s="873"/>
      <c r="AX150" s="873"/>
      <c r="AY150" s="873"/>
    </row>
    <row r="151" spans="1:51">
      <c r="A151" s="309"/>
      <c r="B151" s="67">
        <v>1</v>
      </c>
      <c r="C151" s="34" t="str">
        <f t="shared" ref="C151:H158" ca="1" si="42">IF(AND($J$150=1,$J$170=2),C210,IF(AND($J$150=1,$J$170=1),C225,IF(AND($J$150=1,$J$170=3),C240,IF(AND($J$150=2,$J$170=1),O357,IF(AND($J$150=2,$J$170=2),O365,IF(AND($J$150=2,$J$170=3),O373,IF($J$150=3,C379,"")))))))</f>
        <v>AKM11B</v>
      </c>
      <c r="D151" s="34">
        <f t="shared" ca="1" si="42"/>
        <v>0.183</v>
      </c>
      <c r="E151" s="34">
        <f t="shared" ca="1" si="42"/>
        <v>0.60899999999999999</v>
      </c>
      <c r="F151" s="34">
        <f t="shared" ca="1" si="42"/>
        <v>0.16700000000000001</v>
      </c>
      <c r="G151" s="34">
        <f t="shared" ca="1" si="42"/>
        <v>8000</v>
      </c>
      <c r="H151" s="34">
        <f t="shared" ca="1" si="42"/>
        <v>1.7000000000000001E-2</v>
      </c>
      <c r="I151" s="34"/>
      <c r="J151" s="108">
        <v>1</v>
      </c>
      <c r="K151" s="34" t="s">
        <v>401</v>
      </c>
      <c r="L151" s="34"/>
      <c r="M151" s="34"/>
      <c r="N151" s="34"/>
      <c r="O151" s="68"/>
      <c r="P151" s="310"/>
      <c r="S151" s="142"/>
      <c r="U151" s="723">
        <f ca="1">IF(AND($X$139=7,$AA$144=0,$AB$144=0),'PC40 Graphs'!$B7,IF(AND($X$139=6,$AA$143=0,$AB$143=0),'PC40 Graphs'!$D7,IF(AND($X$139=5,$AA$142=0,$AB$142=0),'PC40 Graphs'!$F7,IF(AND($X$139=4,$AA$141=0,$AB$141=0),'PC32 Graphs'!$B7,IF(AND($X$139=3,$AA$140=0,$AB$140=0),'PC32 Graphs'!$D7,IF(AND($X$139=2,$AA$139=0,$AB$139=0),'PC25 Graphs'!$B8,IF(AND($X$139=1,$AA$138=0,$AB$138=0),'PC25 Graphs'!$D8)))))))</f>
        <v>53.333333333333329</v>
      </c>
      <c r="V151" s="48">
        <f ca="1">IF(AND($X$139=7,$AA$144=0,$AB$144=0),'PC40 Graphs'!$C7,IF(AND($X$139=6,$AA$143=0,$AB$143=0),'PC40 Graphs'!$E7,IF(AND($X$139=5,$AA$142=0,$AB$142=0),'PC40 Graphs'!$G7,IF(AND($X$139=4,$AA$141=0,$AB$141=0),'PC32 Graphs'!$C7,IF(AND($X$139=3,$AA$140=0,$AB$140=0),'PC32 Graphs'!$E7,IF(AND($X$139=2,$AA$139=0,$AB$139=0),'PC25 Graphs'!$C8,IF(AND($X$139=1,$AA$138=0,$AB$138=0),'PC25 Graphs'!$E8)))))))</f>
        <v>290</v>
      </c>
      <c r="W151" s="782">
        <f ca="1">IF(AND($X$139=7,$AA$144=0,$AB$144=0),'PC40 Graphs'!$B65,IF(AND($X$139=6,$AA$143=0,$AB$143=0),'PC40 Graphs'!$D65,IF(AND($X$139=5,$AA$142=0,$AB$142=0),'PC40 Graphs'!$F65,IF(AND($X$139=4,$AA$141=0,$AB$141=0),'PC32 Graphs'!$B64,IF(AND($X$139=3,$AA$140=0,$AB$140=0),'PC32 Graphs'!$D64,IF(AND($X$139=2,$AA$139=0,$AB$139=0),'PC25 Graphs'!$B65,IF(AND($X$139=1,$AA$138=0,$AB$138=0),'PC25 Graphs'!$D65)))))))</f>
        <v>870.8</v>
      </c>
      <c r="X151" s="783">
        <f ca="1">IF(AND($X$139=7,$AA$144=0,$AB$144=0),'PC40 Graphs'!L65,IF(AND($X$139=6,$AA$143=0,$AB$143=0),'PC40 Graphs'!N65,IF(AND($X$139=5,$AA$142=0,$AB$142=0),'PC40 Graphs'!P65,IF(AND($X$139=4,$AA$141=0,$AB$141=0),'PC32 Graphs'!L64,IF(AND($X$139=3,$AA$140=0,$AB$140=0),'PC32 Graphs'!N64,IF(AND($X$139=2,$AA$139=0,$AB$139=0),'PC25 Graphs'!L65,IF(AND($X$139=1,$AA$138=0,$AB$138=0),'PC25 Graphs'!N65)))))))</f>
        <v>982</v>
      </c>
      <c r="Y151" s="787">
        <f t="shared" ca="1" si="39"/>
        <v>53.333333333333329</v>
      </c>
      <c r="Z151" s="780">
        <f t="shared" ca="1" si="40"/>
        <v>1158</v>
      </c>
      <c r="AA151" s="778">
        <f t="shared" ca="1" si="41"/>
        <v>290</v>
      </c>
      <c r="AB151" s="776"/>
      <c r="AD151" s="797">
        <f ca="1">Calc!B88</f>
        <v>320</v>
      </c>
      <c r="AE151" s="797">
        <f ca="1">Calc!A88</f>
        <v>0.86360000000000003</v>
      </c>
      <c r="AG151" s="797">
        <f ca="1">Calc!B22</f>
        <v>5224.8</v>
      </c>
      <c r="AH151" s="797">
        <f ca="1">Calc!A22</f>
        <v>2.7194116923076921</v>
      </c>
      <c r="AQ151" s="824">
        <f t="shared" ca="1" si="38"/>
        <v>0.85400000000000009</v>
      </c>
      <c r="AR151" s="824">
        <f t="shared" ca="1" si="35"/>
        <v>800</v>
      </c>
      <c r="AS151" s="824">
        <f t="shared" ca="1" si="36"/>
        <v>2.5940683956043955</v>
      </c>
      <c r="AT151" s="824">
        <f t="shared" ca="1" si="37"/>
        <v>5463.1</v>
      </c>
      <c r="AU151" s="771"/>
      <c r="AV151" s="873"/>
      <c r="AW151" s="873"/>
      <c r="AX151" s="873"/>
      <c r="AY151" s="873"/>
    </row>
    <row r="152" spans="1:51">
      <c r="A152" s="309"/>
      <c r="B152" s="67">
        <v>2</v>
      </c>
      <c r="C152" s="34" t="str">
        <f t="shared" ca="1" si="42"/>
        <v>AKM12C</v>
      </c>
      <c r="D152" s="34">
        <f t="shared" ca="1" si="42"/>
        <v>0.31</v>
      </c>
      <c r="E152" s="34">
        <f t="shared" ca="1" si="42"/>
        <v>1.08</v>
      </c>
      <c r="F152" s="34">
        <f t="shared" ca="1" si="42"/>
        <v>0.27900000000000003</v>
      </c>
      <c r="G152" s="34">
        <f t="shared" ca="1" si="42"/>
        <v>8000</v>
      </c>
      <c r="H152" s="34">
        <f t="shared" ca="1" si="42"/>
        <v>3.1E-2</v>
      </c>
      <c r="I152" s="34"/>
      <c r="J152" s="108">
        <v>4</v>
      </c>
      <c r="K152" s="34" t="s">
        <v>1941</v>
      </c>
      <c r="L152" s="34"/>
      <c r="M152" s="34" t="s">
        <v>145</v>
      </c>
      <c r="N152" s="34"/>
      <c r="O152" s="34"/>
      <c r="P152" s="310"/>
      <c r="S152" s="142"/>
      <c r="U152" s="723">
        <f ca="1">IF(AND($X$139=7,$AA$144=0,$AB$144=0),'PC40 Graphs'!$B8,IF(AND($X$139=6,$AA$143=0,$AB$143=0),'PC40 Graphs'!$D8,IF(AND($X$139=5,$AA$142=0,$AB$142=0),'PC40 Graphs'!$F8,IF(AND($X$139=4,$AA$141=0,$AB$141=0),'PC32 Graphs'!$B8,IF(AND($X$139=3,$AA$140=0,$AB$140=0),'PC32 Graphs'!$D8,IF(AND($X$139=2,$AA$139=0,$AB$139=0),'PC25 Graphs'!$B9,IF(AND($X$139=1,$AA$138=0,$AB$138=0),'PC25 Graphs'!$D9)))))))</f>
        <v>80</v>
      </c>
      <c r="V152" s="48">
        <f ca="1">IF(AND($X$139=7,$AA$144=0,$AB$144=0),'PC40 Graphs'!$C8,IF(AND($X$139=6,$AA$143=0,$AB$143=0),'PC40 Graphs'!$E8,IF(AND($X$139=5,$AA$142=0,$AB$142=0),'PC40 Graphs'!$G8,IF(AND($X$139=4,$AA$141=0,$AB$141=0),'PC32 Graphs'!$C8,IF(AND($X$139=3,$AA$140=0,$AB$140=0),'PC32 Graphs'!$E8,IF(AND($X$139=2,$AA$139=0,$AB$139=0),'PC25 Graphs'!$C9,IF(AND($X$139=1,$AA$138=0,$AB$138=0),'PC25 Graphs'!$E9)))))))</f>
        <v>284</v>
      </c>
      <c r="W152" s="782">
        <f ca="1">IF(AND($X$139=7,$AA$144=0,$AB$144=0),'PC40 Graphs'!$B66,IF(AND($X$139=6,$AA$143=0,$AB$143=0),'PC40 Graphs'!$D66,IF(AND($X$139=5,$AA$142=0,$AB$142=0),'PC40 Graphs'!$F66,IF(AND($X$139=4,$AA$141=0,$AB$141=0),'PC32 Graphs'!$B65,IF(AND($X$139=3,$AA$140=0,$AB$140=0),'PC32 Graphs'!$D65,IF(AND($X$139=2,$AA$139=0,$AB$139=0),'PC25 Graphs'!$B66,IF(AND($X$139=1,$AA$138=0,$AB$138=0),'PC25 Graphs'!$D66)))))))</f>
        <v>883.7833333333333</v>
      </c>
      <c r="X152" s="783">
        <f ca="1">IF(AND($X$139=7,$AA$144=0,$AB$144=0),'PC40 Graphs'!L66,IF(AND($X$139=6,$AA$143=0,$AB$143=0),'PC40 Graphs'!N66,IF(AND($X$139=5,$AA$142=0,$AB$142=0),'PC40 Graphs'!P66,IF(AND($X$139=4,$AA$141=0,$AB$141=0),'PC32 Graphs'!L65,IF(AND($X$139=3,$AA$140=0,$AB$140=0),'PC32 Graphs'!N65,IF(AND($X$139=2,$AA$139=0,$AB$139=0),'PC25 Graphs'!L66,IF(AND($X$139=1,$AA$138=0,$AB$138=0),'PC25 Graphs'!N66)))))))</f>
        <v>961</v>
      </c>
      <c r="Y152" s="787">
        <f t="shared" ca="1" si="39"/>
        <v>80</v>
      </c>
      <c r="Z152" s="780">
        <f t="shared" ca="1" si="40"/>
        <v>1158</v>
      </c>
      <c r="AA152" s="778">
        <f t="shared" ca="1" si="41"/>
        <v>284</v>
      </c>
      <c r="AB152" s="776"/>
      <c r="AD152" s="797">
        <f ca="1">Calc!B89</f>
        <v>480</v>
      </c>
      <c r="AE152" s="797">
        <f ca="1">Calc!A89</f>
        <v>0.86040000000000005</v>
      </c>
      <c r="AG152" s="797">
        <f ca="1">Calc!B23</f>
        <v>5302.7</v>
      </c>
      <c r="AH152" s="797">
        <f ca="1">Calc!A23</f>
        <v>2.6782269890109891</v>
      </c>
      <c r="AQ152" s="824">
        <f t="shared" ca="1" si="38"/>
        <v>0.85080000000000011</v>
      </c>
      <c r="AR152" s="824">
        <f t="shared" ca="1" si="35"/>
        <v>960</v>
      </c>
      <c r="AS152" s="824">
        <f t="shared" ca="1" si="36"/>
        <v>2.5510945054945053</v>
      </c>
      <c r="AT152" s="824">
        <f t="shared" ca="1" si="37"/>
        <v>5545.7</v>
      </c>
      <c r="AU152" s="772"/>
      <c r="AV152" s="873"/>
      <c r="AW152" s="873"/>
      <c r="AX152" s="873"/>
      <c r="AY152" s="873"/>
    </row>
    <row r="153" spans="1:51">
      <c r="A153" s="309"/>
      <c r="B153" s="67">
        <v>3</v>
      </c>
      <c r="C153" s="34" t="str">
        <f t="shared" ca="1" si="42"/>
        <v>AKM13C</v>
      </c>
      <c r="D153" s="34">
        <f t="shared" ca="1" si="42"/>
        <v>0.40899999999999997</v>
      </c>
      <c r="E153" s="34">
        <f t="shared" ca="1" si="42"/>
        <v>1.46</v>
      </c>
      <c r="F153" s="34">
        <f t="shared" ca="1" si="42"/>
        <v>0.36399999999999999</v>
      </c>
      <c r="G153" s="34">
        <f t="shared" ca="1" si="42"/>
        <v>8000</v>
      </c>
      <c r="H153" s="34">
        <f t="shared" ca="1" si="42"/>
        <v>4.4999999999999998E-2</v>
      </c>
      <c r="I153" s="34"/>
      <c r="J153" s="108">
        <v>4</v>
      </c>
      <c r="L153" s="34"/>
      <c r="M153" s="34">
        <f ca="1">IF(J150=3,0.3,0)</f>
        <v>0</v>
      </c>
      <c r="N153" s="34" t="s">
        <v>146</v>
      </c>
      <c r="O153" s="34"/>
      <c r="P153" s="310"/>
      <c r="S153" s="142"/>
      <c r="U153" s="723">
        <f ca="1">IF(AND($X$139=7,$AA$144=0,$AB$144=0),'PC40 Graphs'!$B9,IF(AND($X$139=6,$AA$143=0,$AB$143=0),'PC40 Graphs'!$D9,IF(AND($X$139=5,$AA$142=0,$AB$142=0),'PC40 Graphs'!$F9,IF(AND($X$139=4,$AA$141=0,$AB$141=0),'PC32 Graphs'!$B9,IF(AND($X$139=3,$AA$140=0,$AB$140=0),'PC32 Graphs'!$D9,IF(AND($X$139=2,$AA$139=0,$AB$139=0),'PC25 Graphs'!$B10,IF(AND($X$139=1,$AA$138=0,$AB$138=0),'PC25 Graphs'!$D10)))))))</f>
        <v>106.66666666666666</v>
      </c>
      <c r="V153" s="48">
        <f ca="1">IF(AND($X$139=7,$AA$144=0,$AB$144=0),'PC40 Graphs'!$C9,IF(AND($X$139=6,$AA$143=0,$AB$143=0),'PC40 Graphs'!$E9,IF(AND($X$139=5,$AA$142=0,$AB$142=0),'PC40 Graphs'!$G9,IF(AND($X$139=4,$AA$141=0,$AB$141=0),'PC32 Graphs'!$C9,IF(AND($X$139=3,$AA$140=0,$AB$140=0),'PC32 Graphs'!$E9,IF(AND($X$139=2,$AA$139=0,$AB$139=0),'PC25 Graphs'!$C10,IF(AND($X$139=1,$AA$138=0,$AB$138=0),'PC25 Graphs'!$E10)))))))</f>
        <v>278</v>
      </c>
      <c r="W153" s="782">
        <f ca="1">IF(AND($X$139=7,$AA$144=0,$AB$144=0),'PC40 Graphs'!$B67,IF(AND($X$139=6,$AA$143=0,$AB$143=0),'PC40 Graphs'!$D67,IF(AND($X$139=5,$AA$142=0,$AB$142=0),'PC40 Graphs'!$F67,IF(AND($X$139=4,$AA$141=0,$AB$141=0),'PC32 Graphs'!$B66,IF(AND($X$139=3,$AA$140=0,$AB$140=0),'PC32 Graphs'!$D66,IF(AND($X$139=2,$AA$139=0,$AB$139=0),'PC25 Graphs'!$B67,IF(AND($X$139=1,$AA$138=0,$AB$138=0),'PC25 Graphs'!$D67)))))))</f>
        <v>897.01666666666665</v>
      </c>
      <c r="X153" s="783">
        <f ca="1">IF(AND($X$139=7,$AA$144=0,$AB$144=0),'PC40 Graphs'!L67,IF(AND($X$139=6,$AA$143=0,$AB$143=0),'PC40 Graphs'!N67,IF(AND($X$139=5,$AA$142=0,$AB$142=0),'PC40 Graphs'!P67,IF(AND($X$139=4,$AA$141=0,$AB$141=0),'PC32 Graphs'!L66,IF(AND($X$139=3,$AA$140=0,$AB$140=0),'PC32 Graphs'!N66,IF(AND($X$139=2,$AA$139=0,$AB$139=0),'PC25 Graphs'!L67,IF(AND($X$139=1,$AA$138=0,$AB$138=0),'PC25 Graphs'!N67)))))))</f>
        <v>939</v>
      </c>
      <c r="Y153" s="787">
        <f t="shared" ca="1" si="39"/>
        <v>106.66666666666666</v>
      </c>
      <c r="Z153" s="780">
        <f t="shared" ca="1" si="40"/>
        <v>1158</v>
      </c>
      <c r="AA153" s="778">
        <f t="shared" ca="1" si="41"/>
        <v>278</v>
      </c>
      <c r="AB153" s="776"/>
      <c r="AD153" s="797">
        <f ca="1">Calc!B90</f>
        <v>640</v>
      </c>
      <c r="AE153" s="797">
        <f ca="1">Calc!A90</f>
        <v>0.85720000000000007</v>
      </c>
      <c r="AG153" s="797">
        <f ca="1">Calc!B24</f>
        <v>5382.1</v>
      </c>
      <c r="AH153" s="797">
        <f ca="1">Calc!A24</f>
        <v>2.6364458901098904</v>
      </c>
      <c r="AQ153" s="824">
        <f t="shared" ca="1" si="38"/>
        <v>0.84824000000000011</v>
      </c>
      <c r="AR153" s="824">
        <f t="shared" ca="1" si="35"/>
        <v>1120</v>
      </c>
      <c r="AS153" s="824">
        <f t="shared" ca="1" si="36"/>
        <v>2.5075242197802194</v>
      </c>
      <c r="AT153" s="824">
        <f t="shared" ca="1" si="37"/>
        <v>5630</v>
      </c>
      <c r="AV153" s="873"/>
      <c r="AW153" s="873"/>
      <c r="AX153" s="873"/>
      <c r="AY153" s="873"/>
    </row>
    <row r="154" spans="1:51">
      <c r="A154" s="309"/>
      <c r="B154" s="67">
        <v>4</v>
      </c>
      <c r="C154" s="34" t="str">
        <f t="shared" ca="1" si="42"/>
        <v>AKM21C</v>
      </c>
      <c r="D154" s="34">
        <f t="shared" ca="1" si="42"/>
        <v>0.48</v>
      </c>
      <c r="E154" s="34">
        <f t="shared" ca="1" si="42"/>
        <v>1.47</v>
      </c>
      <c r="F154" s="34">
        <f t="shared" ca="1" si="42"/>
        <v>0.39</v>
      </c>
      <c r="G154" s="34">
        <f t="shared" ca="1" si="42"/>
        <v>8000</v>
      </c>
      <c r="H154" s="34">
        <f t="shared" ca="1" si="42"/>
        <v>0.11</v>
      </c>
      <c r="I154" s="34"/>
      <c r="J154" s="108">
        <v>4</v>
      </c>
      <c r="L154" s="34"/>
      <c r="M154" s="34"/>
      <c r="N154" s="34"/>
      <c r="O154" s="68"/>
      <c r="P154" s="310"/>
      <c r="S154" s="142"/>
      <c r="U154" s="723">
        <f ca="1">IF(AND($X$139=7,$AA$144=0,$AB$144=0),'PC40 Graphs'!$B10,IF(AND($X$139=6,$AA$143=0,$AB$143=0),'PC40 Graphs'!$D10,IF(AND($X$139=5,$AA$142=0,$AB$142=0),'PC40 Graphs'!$F10,IF(AND($X$139=4,$AA$141=0,$AB$141=0),'PC32 Graphs'!$B10,IF(AND($X$139=3,$AA$140=0,$AB$140=0),'PC32 Graphs'!$D10,IF(AND($X$139=2,$AA$139=0,$AB$139=0),'PC25 Graphs'!$B11,IF(AND($X$139=1,$AA$138=0,$AB$138=0),'PC25 Graphs'!$D11)))))))</f>
        <v>133.33333333333334</v>
      </c>
      <c r="V154" s="48">
        <f ca="1">IF(AND($X$139=7,$AA$144=0,$AB$144=0),'PC40 Graphs'!$C10,IF(AND($X$139=6,$AA$143=0,$AB$143=0),'PC40 Graphs'!$E10,IF(AND($X$139=5,$AA$142=0,$AB$142=0),'PC40 Graphs'!$G10,IF(AND($X$139=4,$AA$141=0,$AB$141=0),'PC32 Graphs'!$C10,IF(AND($X$139=3,$AA$140=0,$AB$140=0),'PC32 Graphs'!$E10,IF(AND($X$139=2,$AA$139=0,$AB$139=0),'PC25 Graphs'!$C11,IF(AND($X$139=1,$AA$138=0,$AB$138=0),'PC25 Graphs'!$E11)))))))</f>
        <v>271</v>
      </c>
      <c r="W154" s="782">
        <f ca="1">IF(AND($X$139=7,$AA$144=0,$AB$144=0),'PC40 Graphs'!$B68,IF(AND($X$139=6,$AA$143=0,$AB$143=0),'PC40 Graphs'!$D68,IF(AND($X$139=5,$AA$142=0,$AB$142=0),'PC40 Graphs'!$F68,IF(AND($X$139=4,$AA$141=0,$AB$141=0),'PC32 Graphs'!$B67,IF(AND($X$139=3,$AA$140=0,$AB$140=0),'PC32 Graphs'!$D67,IF(AND($X$139=2,$AA$139=0,$AB$139=0),'PC25 Graphs'!$B68,IF(AND($X$139=1,$AA$138=0,$AB$138=0),'PC25 Graphs'!$D68)))))))</f>
        <v>910.51666666666677</v>
      </c>
      <c r="X154" s="783">
        <f ca="1">IF(AND($X$139=7,$AA$144=0,$AB$144=0),'PC40 Graphs'!L68,IF(AND($X$139=6,$AA$143=0,$AB$143=0),'PC40 Graphs'!N68,IF(AND($X$139=5,$AA$142=0,$AB$142=0),'PC40 Graphs'!P68,IF(AND($X$139=4,$AA$141=0,$AB$141=0),'PC32 Graphs'!L67,IF(AND($X$139=3,$AA$140=0,$AB$140=0),'PC32 Graphs'!N67,IF(AND($X$139=2,$AA$139=0,$AB$139=0),'PC25 Graphs'!L68,IF(AND($X$139=1,$AA$138=0,$AB$138=0),'PC25 Graphs'!N68)))))))</f>
        <v>918</v>
      </c>
      <c r="Y154" s="787">
        <f t="shared" ca="1" si="39"/>
        <v>133.33333333333334</v>
      </c>
      <c r="Z154" s="780">
        <f t="shared" ca="1" si="40"/>
        <v>1158</v>
      </c>
      <c r="AA154" s="778">
        <f t="shared" ca="1" si="41"/>
        <v>271</v>
      </c>
      <c r="AB154" s="776"/>
      <c r="AD154" s="797">
        <f ca="1">Calc!B91</f>
        <v>800</v>
      </c>
      <c r="AE154" s="797">
        <f ca="1">Calc!A91</f>
        <v>0.85400000000000009</v>
      </c>
      <c r="AG154" s="797">
        <f ca="1">Calc!B25</f>
        <v>5463.1</v>
      </c>
      <c r="AH154" s="797">
        <f ca="1">Calc!A25</f>
        <v>2.5940683956043955</v>
      </c>
      <c r="AQ154" s="824">
        <f t="shared" ca="1" si="38"/>
        <v>0.8456800000000001</v>
      </c>
      <c r="AR154" s="824">
        <f t="shared" ca="1" si="35"/>
        <v>1280</v>
      </c>
      <c r="AS154" s="824">
        <f t="shared" ca="1" si="36"/>
        <v>2.4633575384615383</v>
      </c>
      <c r="AT154" s="824">
        <f t="shared" ca="1" si="37"/>
        <v>5715.8</v>
      </c>
      <c r="AV154" s="873"/>
      <c r="AW154" s="873"/>
      <c r="AX154" s="873"/>
      <c r="AY154" s="873"/>
    </row>
    <row r="155" spans="1:51">
      <c r="A155" s="309"/>
      <c r="B155" s="67">
        <v>5</v>
      </c>
      <c r="C155" s="34" t="str">
        <f t="shared" ca="1" si="42"/>
        <v>AKM22E</v>
      </c>
      <c r="D155" s="34">
        <f t="shared" ca="1" si="42"/>
        <v>0.87</v>
      </c>
      <c r="E155" s="34">
        <f t="shared" ca="1" si="42"/>
        <v>2.76</v>
      </c>
      <c r="F155" s="34">
        <f t="shared" ca="1" si="42"/>
        <v>0.7</v>
      </c>
      <c r="G155" s="34">
        <f t="shared" ca="1" si="42"/>
        <v>8000</v>
      </c>
      <c r="H155" s="34">
        <f t="shared" ca="1" si="42"/>
        <v>0.16</v>
      </c>
      <c r="I155" s="34"/>
      <c r="J155" s="108">
        <v>5</v>
      </c>
      <c r="K155" s="34"/>
      <c r="L155" s="109"/>
      <c r="M155" s="34" t="s">
        <v>124</v>
      </c>
      <c r="N155" s="34"/>
      <c r="O155" s="68"/>
      <c r="P155" s="310"/>
      <c r="S155" s="142"/>
      <c r="U155" s="723">
        <f ca="1">IF(AND($X$139=7,$AA$144=0,$AB$144=0),'PC40 Graphs'!$B11,IF(AND($X$139=6,$AA$143=0,$AB$143=0),'PC40 Graphs'!$D11,IF(AND($X$139=5,$AA$142=0,$AB$142=0),'PC40 Graphs'!$F11,IF(AND($X$139=4,$AA$141=0,$AB$141=0),'PC32 Graphs'!$B11,IF(AND($X$139=3,$AA$140=0,$AB$140=0),'PC32 Graphs'!$D11,IF(AND($X$139=2,$AA$139=0,$AB$139=0),'PC25 Graphs'!$B12,IF(AND($X$139=1,$AA$138=0,$AB$138=0),'PC25 Graphs'!$D12)))))))</f>
        <v>160</v>
      </c>
      <c r="V155" s="48">
        <f ca="1">IF(AND($X$139=7,$AA$144=0,$AB$144=0),'PC40 Graphs'!$C11,IF(AND($X$139=6,$AA$143=0,$AB$143=0),'PC40 Graphs'!$E11,IF(AND($X$139=5,$AA$142=0,$AB$142=0),'PC40 Graphs'!$G11,IF(AND($X$139=4,$AA$141=0,$AB$141=0),'PC32 Graphs'!$C11,IF(AND($X$139=3,$AA$140=0,$AB$140=0),'PC32 Graphs'!$E11,IF(AND($X$139=2,$AA$139=0,$AB$139=0),'PC25 Graphs'!$C12,IF(AND($X$139=1,$AA$138=0,$AB$138=0),'PC25 Graphs'!$E12)))))))</f>
        <v>265</v>
      </c>
      <c r="W155" s="782">
        <f ca="1">IF(AND($X$139=7,$AA$144=0,$AB$144=0),'PC40 Graphs'!$B69,IF(AND($X$139=6,$AA$143=0,$AB$143=0),'PC40 Graphs'!$D69,IF(AND($X$139=5,$AA$142=0,$AB$142=0),'PC40 Graphs'!$F69,IF(AND($X$139=4,$AA$141=0,$AB$141=0),'PC32 Graphs'!$B68,IF(AND($X$139=3,$AA$140=0,$AB$140=0),'PC32 Graphs'!$D68,IF(AND($X$139=2,$AA$139=0,$AB$139=0),'PC25 Graphs'!$B69,IF(AND($X$139=1,$AA$138=0,$AB$138=0),'PC25 Graphs'!$D69)))))))</f>
        <v>924.2833333333333</v>
      </c>
      <c r="X155" s="783">
        <f ca="1">IF(AND($X$139=7,$AA$144=0,$AB$144=0),'PC40 Graphs'!L69,IF(AND($X$139=6,$AA$143=0,$AB$143=0),'PC40 Graphs'!N69,IF(AND($X$139=5,$AA$142=0,$AB$142=0),'PC40 Graphs'!P69,IF(AND($X$139=4,$AA$141=0,$AB$141=0),'PC32 Graphs'!L68,IF(AND($X$139=3,$AA$140=0,$AB$140=0),'PC32 Graphs'!N68,IF(AND($X$139=2,$AA$139=0,$AB$139=0),'PC25 Graphs'!L69,IF(AND($X$139=1,$AA$138=0,$AB$138=0),'PC25 Graphs'!N69)))))))</f>
        <v>896</v>
      </c>
      <c r="Y155" s="787">
        <f t="shared" ca="1" si="39"/>
        <v>160</v>
      </c>
      <c r="Z155" s="780">
        <f t="shared" ca="1" si="40"/>
        <v>1158</v>
      </c>
      <c r="AA155" s="778">
        <f t="shared" ca="1" si="41"/>
        <v>265</v>
      </c>
      <c r="AB155" s="776"/>
      <c r="AD155" s="797">
        <f ca="1">Calc!B92</f>
        <v>960</v>
      </c>
      <c r="AE155" s="797">
        <f ca="1">Calc!A92</f>
        <v>0.85080000000000011</v>
      </c>
      <c r="AG155" s="797">
        <f ca="1">Calc!B26</f>
        <v>5545.7</v>
      </c>
      <c r="AH155" s="797">
        <f ca="1">Calc!A26</f>
        <v>2.5510945054945053</v>
      </c>
      <c r="AQ155" s="824">
        <f t="shared" ca="1" si="38"/>
        <v>0.84312000000000009</v>
      </c>
      <c r="AR155" s="824">
        <f t="shared" ca="1" si="35"/>
        <v>1440</v>
      </c>
      <c r="AS155" s="824">
        <f t="shared" ca="1" si="36"/>
        <v>2.4185944615384618</v>
      </c>
      <c r="AT155" s="824">
        <f t="shared" ca="1" si="37"/>
        <v>5803.3</v>
      </c>
      <c r="AV155" s="873"/>
      <c r="AW155" s="873"/>
      <c r="AX155" s="873"/>
      <c r="AY155" s="873"/>
    </row>
    <row r="156" spans="1:51">
      <c r="A156" s="309"/>
      <c r="B156" s="67">
        <v>6</v>
      </c>
      <c r="C156" s="34" t="str">
        <f t="shared" ca="1" si="42"/>
        <v>AKM23E</v>
      </c>
      <c r="D156" s="34">
        <f t="shared" ca="1" si="42"/>
        <v>1.1599999999999999</v>
      </c>
      <c r="E156" s="34">
        <f t="shared" ca="1" si="42"/>
        <v>3.86</v>
      </c>
      <c r="F156" s="34">
        <f t="shared" ca="1" si="42"/>
        <v>0.98</v>
      </c>
      <c r="G156" s="34">
        <f t="shared" ca="1" si="42"/>
        <v>6500</v>
      </c>
      <c r="H156" s="34">
        <f t="shared" ca="1" si="42"/>
        <v>0.22</v>
      </c>
      <c r="I156" s="34"/>
      <c r="J156" s="108">
        <v>6</v>
      </c>
      <c r="K156" s="34"/>
      <c r="L156" s="110">
        <f>Input!C37</f>
        <v>10</v>
      </c>
      <c r="M156" s="111" t="s">
        <v>100</v>
      </c>
      <c r="N156" s="34" t="b">
        <f>L156=2</f>
        <v>0</v>
      </c>
      <c r="O156" s="68"/>
      <c r="P156" s="310"/>
      <c r="S156" s="142"/>
      <c r="U156" s="773">
        <f ca="1">IF(AND($X$139=7,$AA$144=0,$AB$144=0),'PC40 Graphs'!$B12,IF(AND($X$139=6,$AA$143=0,$AB$143=0),'PC40 Graphs'!$D12,IF(AND($X$139=5,$AA$142=0,$AB$142=0),'PC40 Graphs'!$F12,IF(AND($X$139=4,$AA$141=0,$AB$141=0),'PC32 Graphs'!$B12,IF(AND($X$139=3,$AA$140=0,$AB$140=0),'PC32 Graphs'!$D12,IF(AND($X$139=2,$AA$139=0,$AB$139=0),'PC25 Graphs'!$B13,IF(AND($X$139=1,$AA$138=0,$AB$138=0),'PC25 Graphs'!$D13)))))))</f>
        <v>186.66666666666669</v>
      </c>
      <c r="V156" s="774">
        <f ca="1">IF(AND($X$139=7,$AA$144=0,$AB$144=0),'PC40 Graphs'!$C12,IF(AND($X$139=6,$AA$143=0,$AB$143=0),'PC40 Graphs'!$E12,IF(AND($X$139=5,$AA$142=0,$AB$142=0),'PC40 Graphs'!$G12,IF(AND($X$139=4,$AA$141=0,$AB$141=0),'PC32 Graphs'!$C12,IF(AND($X$139=3,$AA$140=0,$AB$140=0),'PC32 Graphs'!$E12,IF(AND($X$139=2,$AA$139=0,$AB$139=0),'PC25 Graphs'!$C13,IF(AND($X$139=1,$AA$138=0,$AB$138=0),'PC25 Graphs'!$E13)))))))</f>
        <v>259</v>
      </c>
      <c r="W156" s="782">
        <f ca="1">IF(AND($X$139=7,$AA$144=0,$AB$144=0),'PC40 Graphs'!$B70,IF(AND($X$139=6,$AA$143=0,$AB$143=0),'PC40 Graphs'!$D70,IF(AND($X$139=5,$AA$142=0,$AB$142=0),'PC40 Graphs'!$F70,IF(AND($X$139=4,$AA$141=0,$AB$141=0),'PC32 Graphs'!$B69,IF(AND($X$139=3,$AA$140=0,$AB$140=0),'PC32 Graphs'!$D69,IF(AND($X$139=2,$AA$139=0,$AB$139=0),'PC25 Graphs'!$B70,IF(AND($X$139=1,$AA$138=0,$AB$138=0),'PC25 Graphs'!$D70)))))))</f>
        <v>938.33333333333326</v>
      </c>
      <c r="X156" s="783">
        <f ca="1">IF(AND($X$139=7,$AA$144=0,$AB$144=0),'PC40 Graphs'!L70,IF(AND($X$139=6,$AA$143=0,$AB$143=0),'PC40 Graphs'!N70,IF(AND($X$139=5,$AA$142=0,$AB$142=0),'PC40 Graphs'!P70,IF(AND($X$139=4,$AA$141=0,$AB$141=0),'PC32 Graphs'!L69,IF(AND($X$139=3,$AA$140=0,$AB$140=0),'PC32 Graphs'!N69,IF(AND($X$139=2,$AA$139=0,$AB$139=0),'PC25 Graphs'!L70,IF(AND($X$139=1,$AA$138=0,$AB$138=0),'PC25 Graphs'!N70)))))))</f>
        <v>874</v>
      </c>
      <c r="Y156" s="787">
        <f t="shared" ca="1" si="39"/>
        <v>186.66666666666669</v>
      </c>
      <c r="Z156" s="780">
        <f t="shared" ca="1" si="40"/>
        <v>1158</v>
      </c>
      <c r="AA156" s="778">
        <f t="shared" ca="1" si="41"/>
        <v>259</v>
      </c>
      <c r="AB156" s="776"/>
      <c r="AD156" s="797">
        <f ca="1">Calc!B93</f>
        <v>1120</v>
      </c>
      <c r="AE156" s="797">
        <f ca="1">Calc!A93</f>
        <v>0.84824000000000011</v>
      </c>
      <c r="AG156" s="797">
        <f ca="1">Calc!B27</f>
        <v>5630</v>
      </c>
      <c r="AH156" s="797">
        <f ca="1">Calc!A27</f>
        <v>2.5075242197802194</v>
      </c>
      <c r="AQ156" s="824">
        <f t="shared" ca="1" si="38"/>
        <v>0.84056000000000008</v>
      </c>
      <c r="AR156" s="824">
        <f t="shared" ca="1" si="35"/>
        <v>1600</v>
      </c>
      <c r="AS156" s="824">
        <f t="shared" ca="1" si="36"/>
        <v>2.3732349890109892</v>
      </c>
      <c r="AT156" s="824">
        <f t="shared" ca="1" si="37"/>
        <v>5892.4</v>
      </c>
      <c r="AV156" s="873"/>
      <c r="AW156" s="873"/>
      <c r="AX156" s="873"/>
      <c r="AY156" s="873"/>
    </row>
    <row r="157" spans="1:51">
      <c r="A157" s="309"/>
      <c r="B157" s="67">
        <v>7</v>
      </c>
      <c r="C157" s="34" t="str">
        <f t="shared" ca="1" si="42"/>
        <v>AKM24E</v>
      </c>
      <c r="D157" s="34">
        <f t="shared" ca="1" si="42"/>
        <v>1.4</v>
      </c>
      <c r="E157" s="34">
        <f t="shared" ca="1" si="42"/>
        <v>4.79</v>
      </c>
      <c r="F157" s="34">
        <f t="shared" ca="1" si="42"/>
        <v>1.24</v>
      </c>
      <c r="G157" s="34">
        <f t="shared" ca="1" si="42"/>
        <v>5500</v>
      </c>
      <c r="H157" s="34">
        <f t="shared" ca="1" si="42"/>
        <v>0.27</v>
      </c>
      <c r="I157" s="34"/>
      <c r="J157" s="67"/>
      <c r="K157" s="34"/>
      <c r="L157" s="110">
        <f>Input!C38</f>
        <v>10</v>
      </c>
      <c r="M157" s="111" t="s">
        <v>101</v>
      </c>
      <c r="N157" s="34"/>
      <c r="O157" s="68"/>
      <c r="P157" s="310"/>
      <c r="S157" s="142"/>
      <c r="U157" s="723">
        <f ca="1">IF(AND($X$139=7,$AA$144=0,$AB$144=0),'PC40 Graphs'!$B13,IF(AND($X$139=6,$AA$143=0,$AB$143=0),'PC40 Graphs'!$D13,IF(AND($X$139=5,$AA$142=0,$AB$142=0),'PC40 Graphs'!$F13,IF(AND($X$139=4,$AA$141=0,$AB$141=0),'PC32 Graphs'!$B13,IF(AND($X$139=3,$AA$140=0,$AB$140=0),'PC32 Graphs'!$D13,IF(AND($X$139=2,$AA$139=0,$AB$139=0),'PC25 Graphs'!$B14,IF(AND($X$139=1,$AA$138=0,$AB$138=0),'PC25 Graphs'!$D14)))))))</f>
        <v>213.33333333333331</v>
      </c>
      <c r="V157" s="48">
        <f ca="1">IF(AND($X$139=7,$AA$144=0,$AB$144=0),'PC40 Graphs'!$C13,IF(AND($X$139=6,$AA$143=0,$AB$143=0),'PC40 Graphs'!$E13,IF(AND($X$139=5,$AA$142=0,$AB$142=0),'PC40 Graphs'!$G13,IF(AND($X$139=4,$AA$141=0,$AB$141=0),'PC32 Graphs'!$C13,IF(AND($X$139=3,$AA$140=0,$AB$140=0),'PC32 Graphs'!$E13,IF(AND($X$139=2,$AA$139=0,$AB$139=0),'PC25 Graphs'!$C14,IF(AND($X$139=1,$AA$138=0,$AB$138=0),'PC25 Graphs'!$E14)))))))</f>
        <v>253</v>
      </c>
      <c r="W157" s="782">
        <f ca="1">IF(AND($X$139=7,$AA$144=0,$AB$144=0),'PC40 Graphs'!$B71,IF(AND($X$139=6,$AA$143=0,$AB$143=0),'PC40 Graphs'!$D71,IF(AND($X$139=5,$AA$142=0,$AB$142=0),'PC40 Graphs'!$F71,IF(AND($X$139=4,$AA$141=0,$AB$141=0),'PC32 Graphs'!$B70,IF(AND($X$139=3,$AA$140=0,$AB$140=0),'PC32 Graphs'!$D70,IF(AND($X$139=2,$AA$139=0,$AB$139=0),'PC25 Graphs'!$B71,IF(AND($X$139=1,$AA$138=0,$AB$138=0),'PC25 Graphs'!$D71)))))))</f>
        <v>952.63333333333333</v>
      </c>
      <c r="X157" s="783">
        <f ca="1">IF(AND($X$139=7,$AA$144=0,$AB$144=0),'PC40 Graphs'!L71,IF(AND($X$139=6,$AA$143=0,$AB$143=0),'PC40 Graphs'!N71,IF(AND($X$139=5,$AA$142=0,$AB$142=0),'PC40 Graphs'!P71,IF(AND($X$139=4,$AA$141=0,$AB$141=0),'PC32 Graphs'!L70,IF(AND($X$139=3,$AA$140=0,$AB$140=0),'PC32 Graphs'!N70,IF(AND($X$139=2,$AA$139=0,$AB$139=0),'PC25 Graphs'!L71,IF(AND($X$139=1,$AA$138=0,$AB$138=0),'PC25 Graphs'!N71)))))))</f>
        <v>851</v>
      </c>
      <c r="Y157" s="787">
        <f t="shared" ca="1" si="39"/>
        <v>213.33333333333331</v>
      </c>
      <c r="Z157" s="780">
        <f t="shared" ca="1" si="40"/>
        <v>1158</v>
      </c>
      <c r="AA157" s="778">
        <f t="shared" ca="1" si="41"/>
        <v>253</v>
      </c>
      <c r="AB157" s="776"/>
      <c r="AD157" s="797">
        <f ca="1">Calc!B94</f>
        <v>1280</v>
      </c>
      <c r="AE157" s="797">
        <f ca="1">Calc!A94</f>
        <v>0.8456800000000001</v>
      </c>
      <c r="AG157" s="797">
        <f ca="1">Calc!B28</f>
        <v>5715.8</v>
      </c>
      <c r="AH157" s="797">
        <f ca="1">Calc!A28</f>
        <v>2.4633575384615383</v>
      </c>
      <c r="AQ157" s="824">
        <f t="shared" ca="1" si="38"/>
        <v>0.83800000000000008</v>
      </c>
      <c r="AR157" s="824">
        <f t="shared" ca="1" si="35"/>
        <v>1760</v>
      </c>
      <c r="AS157" s="824">
        <f t="shared" ca="1" si="36"/>
        <v>2.3272791208791213</v>
      </c>
      <c r="AT157" s="824">
        <f t="shared" ca="1" si="37"/>
        <v>5983.2</v>
      </c>
      <c r="AV157" s="873"/>
      <c r="AW157" s="873"/>
      <c r="AX157" s="873"/>
      <c r="AY157" s="873"/>
    </row>
    <row r="158" spans="1:51">
      <c r="A158" s="309"/>
      <c r="B158" s="67">
        <v>8</v>
      </c>
      <c r="C158" s="34" t="str">
        <f t="shared" ca="1" si="42"/>
        <v>AKM31E</v>
      </c>
      <c r="D158" s="34">
        <f t="shared" ca="1" si="42"/>
        <v>1.2</v>
      </c>
      <c r="E158" s="34">
        <f t="shared" ca="1" si="42"/>
        <v>4</v>
      </c>
      <c r="F158" s="34">
        <f t="shared" ca="1" si="42"/>
        <v>0.95</v>
      </c>
      <c r="G158" s="34">
        <f t="shared" ca="1" si="42"/>
        <v>6000</v>
      </c>
      <c r="H158" s="34">
        <f t="shared" ca="1" si="42"/>
        <v>0.33</v>
      </c>
      <c r="I158" s="34"/>
      <c r="J158" s="67"/>
      <c r="K158" s="34"/>
      <c r="L158" s="110">
        <f>Input!C39</f>
        <v>10</v>
      </c>
      <c r="M158" s="111" t="s">
        <v>102</v>
      </c>
      <c r="N158" s="34"/>
      <c r="O158" s="68"/>
      <c r="P158" s="310"/>
      <c r="U158" s="723">
        <f ca="1">IF(AND($X$139=7,$AA$144=0,$AB$144=0),'PC40 Graphs'!$B14,IF(AND($X$139=6,$AA$143=0,$AB$143=0),'PC40 Graphs'!$D14,IF(AND($X$139=5,$AA$142=0,$AB$142=0),'PC40 Graphs'!$F14,IF(AND($X$139=4,$AA$141=0,$AB$141=0),'PC32 Graphs'!$B14,IF(AND($X$139=3,$AA$140=0,$AB$140=0),'PC32 Graphs'!$D14,IF(AND($X$139=2,$AA$139=0,$AB$139=0),'PC25 Graphs'!$B15,IF(AND($X$139=1,$AA$138=0,$AB$138=0),'PC25 Graphs'!$D15)))))))</f>
        <v>240</v>
      </c>
      <c r="V158" s="48">
        <f ca="1">IF(AND($X$139=7,$AA$144=0,$AB$144=0),'PC40 Graphs'!$C14,IF(AND($X$139=6,$AA$143=0,$AB$143=0),'PC40 Graphs'!$E14,IF(AND($X$139=5,$AA$142=0,$AB$142=0),'PC40 Graphs'!$G14,IF(AND($X$139=4,$AA$141=0,$AB$141=0),'PC32 Graphs'!$C14,IF(AND($X$139=3,$AA$140=0,$AB$140=0),'PC32 Graphs'!$E14,IF(AND($X$139=2,$AA$139=0,$AB$139=0),'PC25 Graphs'!$C15,IF(AND($X$139=1,$AA$138=0,$AB$138=0),'PC25 Graphs'!$E15)))))))</f>
        <v>247</v>
      </c>
      <c r="W158" s="782">
        <f ca="1">IF(AND($X$139=7,$AA$144=0,$AB$144=0),'PC40 Graphs'!$B72,IF(AND($X$139=6,$AA$143=0,$AB$143=0),'PC40 Graphs'!$D72,IF(AND($X$139=5,$AA$142=0,$AB$142=0),'PC40 Graphs'!$F72,IF(AND($X$139=4,$AA$141=0,$AB$141=0),'PC32 Graphs'!$B71,IF(AND($X$139=3,$AA$140=0,$AB$140=0),'PC32 Graphs'!$D71,IF(AND($X$139=2,$AA$139=0,$AB$139=0),'PC25 Graphs'!$B72,IF(AND($X$139=1,$AA$138=0,$AB$138=0),'PC25 Graphs'!$D72)))))))</f>
        <v>967.2166666666667</v>
      </c>
      <c r="X158" s="783">
        <f ca="1">IF(AND($X$139=7,$AA$144=0,$AB$144=0),'PC40 Graphs'!L72,IF(AND($X$139=6,$AA$143=0,$AB$143=0),'PC40 Graphs'!N72,IF(AND($X$139=5,$AA$142=0,$AB$142=0),'PC40 Graphs'!P72,IF(AND($X$139=4,$AA$141=0,$AB$141=0),'PC32 Graphs'!L71,IF(AND($X$139=3,$AA$140=0,$AB$140=0),'PC32 Graphs'!N71,IF(AND($X$139=2,$AA$139=0,$AB$139=0),'PC25 Graphs'!L72,IF(AND($X$139=1,$AA$138=0,$AB$138=0),'PC25 Graphs'!N72)))))))</f>
        <v>828</v>
      </c>
      <c r="Y158" s="787">
        <f t="shared" ca="1" si="39"/>
        <v>240</v>
      </c>
      <c r="Z158" s="780">
        <f t="shared" ca="1" si="40"/>
        <v>1158</v>
      </c>
      <c r="AA158" s="778">
        <f t="shared" ca="1" si="41"/>
        <v>247</v>
      </c>
      <c r="AB158" s="776"/>
      <c r="AD158" s="797">
        <f ca="1">Calc!B95</f>
        <v>1440</v>
      </c>
      <c r="AE158" s="797">
        <f ca="1">Calc!A95</f>
        <v>0.84312000000000009</v>
      </c>
      <c r="AG158" s="797">
        <f ca="1">Calc!B29</f>
        <v>5803.3</v>
      </c>
      <c r="AH158" s="797">
        <f ca="1">Calc!A29</f>
        <v>2.4185944615384618</v>
      </c>
      <c r="AQ158" s="824">
        <f t="shared" ca="1" si="38"/>
        <v>0.83544000000000007</v>
      </c>
      <c r="AR158" s="824">
        <f t="shared" ca="1" si="35"/>
        <v>1920</v>
      </c>
      <c r="AS158" s="824">
        <f t="shared" ca="1" si="36"/>
        <v>2.2807268571428576</v>
      </c>
      <c r="AT158" s="824">
        <f t="shared" ca="1" si="37"/>
        <v>6075.6</v>
      </c>
      <c r="AV158" s="873"/>
      <c r="AW158" s="873"/>
      <c r="AX158" s="873"/>
      <c r="AY158" s="873"/>
    </row>
    <row r="159" spans="1:51">
      <c r="A159" s="309"/>
      <c r="B159" s="67">
        <v>9</v>
      </c>
      <c r="C159" s="34" t="str">
        <f t="shared" ref="C159:H160" ca="1" si="43">IF(AND($J$150=1,$J$170=2),C218,IF(AND($J$150=1,$J$170=1),C233,IF(AND($J$150=1,$J$170=3),C248,IF($J$150=3,C387,""))))</f>
        <v>AKM32E</v>
      </c>
      <c r="D159" s="34">
        <f t="shared" ca="1" si="43"/>
        <v>2.04</v>
      </c>
      <c r="E159" s="34">
        <f t="shared" ca="1" si="43"/>
        <v>7.11</v>
      </c>
      <c r="F159" s="34">
        <f t="shared" ca="1" si="43"/>
        <v>1.91</v>
      </c>
      <c r="G159" s="34">
        <f t="shared" ca="1" si="43"/>
        <v>3000</v>
      </c>
      <c r="H159" s="34">
        <f t="shared" ca="1" si="43"/>
        <v>0.59</v>
      </c>
      <c r="I159" s="34"/>
      <c r="J159" s="67"/>
      <c r="K159" s="34"/>
      <c r="L159" s="110">
        <f>Input!C40</f>
        <v>4000</v>
      </c>
      <c r="M159" s="111" t="s">
        <v>103</v>
      </c>
      <c r="N159" s="34"/>
      <c r="O159" s="68"/>
      <c r="P159" s="310"/>
      <c r="U159" s="723">
        <f ca="1">IF(AND($X$139=7,$AA$144=0,$AB$144=0),'PC40 Graphs'!$B15,IF(AND($X$139=6,$AA$143=0,$AB$143=0),'PC40 Graphs'!$D15,IF(AND($X$139=5,$AA$142=0,$AB$142=0),'PC40 Graphs'!$F15,IF(AND($X$139=4,$AA$141=0,$AB$141=0),'PC32 Graphs'!$B15,IF(AND($X$139=3,$AA$140=0,$AB$140=0),'PC32 Graphs'!$D15,IF(AND($X$139=2,$AA$139=0,$AB$139=0),'PC25 Graphs'!$B16,IF(AND($X$139=1,$AA$138=0,$AB$138=0),'PC25 Graphs'!$D16)))))))</f>
        <v>266.66666666666669</v>
      </c>
      <c r="V159" s="48">
        <f ca="1">IF(AND($X$139=7,$AA$144=0,$AB$144=0),'PC40 Graphs'!$C15,IF(AND($X$139=6,$AA$143=0,$AB$143=0),'PC40 Graphs'!$E15,IF(AND($X$139=5,$AA$142=0,$AB$142=0),'PC40 Graphs'!$G15,IF(AND($X$139=4,$AA$141=0,$AB$141=0),'PC32 Graphs'!$C15,IF(AND($X$139=3,$AA$140=0,$AB$140=0),'PC32 Graphs'!$E15,IF(AND($X$139=2,$AA$139=0,$AB$139=0),'PC25 Graphs'!$C16,IF(AND($X$139=1,$AA$138=0,$AB$138=0),'PC25 Graphs'!$E16)))))))</f>
        <v>241</v>
      </c>
      <c r="W159" s="782">
        <f ca="1">IF(AND($X$139=7,$AA$144=0,$AB$144=0),'PC40 Graphs'!$B73,IF(AND($X$139=6,$AA$143=0,$AB$143=0),'PC40 Graphs'!$D73,IF(AND($X$139=5,$AA$142=0,$AB$142=0),'PC40 Graphs'!$F73,IF(AND($X$139=4,$AA$141=0,$AB$141=0),'PC32 Graphs'!$B72,IF(AND($X$139=3,$AA$140=0,$AB$140=0),'PC32 Graphs'!$D72,IF(AND($X$139=2,$AA$139=0,$AB$139=0),'PC25 Graphs'!$B73,IF(AND($X$139=1,$AA$138=0,$AB$138=0),'PC25 Graphs'!$D73)))))))</f>
        <v>982.06666666666661</v>
      </c>
      <c r="X159" s="783">
        <f ca="1">IF(AND($X$139=7,$AA$144=0,$AB$144=0),'PC40 Graphs'!L73,IF(AND($X$139=6,$AA$143=0,$AB$143=0),'PC40 Graphs'!N73,IF(AND($X$139=5,$AA$142=0,$AB$142=0),'PC40 Graphs'!P73,IF(AND($X$139=4,$AA$141=0,$AB$141=0),'PC32 Graphs'!L72,IF(AND($X$139=3,$AA$140=0,$AB$140=0),'PC32 Graphs'!N72,IF(AND($X$139=2,$AA$139=0,$AB$139=0),'PC25 Graphs'!L73,IF(AND($X$139=1,$AA$138=0,$AB$138=0),'PC25 Graphs'!N73)))))))</f>
        <v>805</v>
      </c>
      <c r="Y159" s="787">
        <f t="shared" ca="1" si="39"/>
        <v>266.66666666666669</v>
      </c>
      <c r="Z159" s="780">
        <f t="shared" ca="1" si="40"/>
        <v>1158</v>
      </c>
      <c r="AA159" s="778">
        <f t="shared" ca="1" si="41"/>
        <v>241</v>
      </c>
      <c r="AB159" s="776"/>
      <c r="AD159" s="797">
        <f ca="1">Calc!B96</f>
        <v>1600</v>
      </c>
      <c r="AE159" s="797">
        <f ca="1">Calc!A96</f>
        <v>0.84056000000000008</v>
      </c>
      <c r="AG159" s="797">
        <f ca="1">Calc!B30</f>
        <v>5892.4</v>
      </c>
      <c r="AH159" s="797">
        <f ca="1">Calc!A30</f>
        <v>2.3732349890109892</v>
      </c>
      <c r="AQ159" s="824">
        <f t="shared" ca="1" si="38"/>
        <v>0.83288000000000006</v>
      </c>
      <c r="AR159" s="824">
        <f t="shared" ca="1" si="35"/>
        <v>2080</v>
      </c>
      <c r="AS159" s="824">
        <f t="shared" ca="1" si="36"/>
        <v>2.2335781978021974</v>
      </c>
      <c r="AT159" s="824">
        <f t="shared" ca="1" si="37"/>
        <v>6169.7</v>
      </c>
      <c r="AV159" s="873"/>
      <c r="AW159" s="873"/>
      <c r="AX159" s="873"/>
      <c r="AY159" s="873"/>
    </row>
    <row r="160" spans="1:51">
      <c r="A160" s="309"/>
      <c r="B160" s="67">
        <v>10</v>
      </c>
      <c r="C160" s="34" t="str">
        <f t="shared" ca="1" si="43"/>
        <v>AKM33H</v>
      </c>
      <c r="D160" s="34">
        <f t="shared" ca="1" si="43"/>
        <v>2.88</v>
      </c>
      <c r="E160" s="34">
        <f t="shared" ca="1" si="43"/>
        <v>10.220000000000001</v>
      </c>
      <c r="F160" s="34">
        <f t="shared" ca="1" si="43"/>
        <v>2.27</v>
      </c>
      <c r="G160" s="34">
        <f t="shared" ca="1" si="43"/>
        <v>5500</v>
      </c>
      <c r="H160" s="34">
        <f t="shared" ca="1" si="43"/>
        <v>0.85</v>
      </c>
      <c r="I160" s="34"/>
      <c r="J160" s="67"/>
      <c r="K160" s="34"/>
      <c r="L160" s="112">
        <f>Input!C41</f>
        <v>0.5</v>
      </c>
      <c r="M160" s="111" t="s">
        <v>79</v>
      </c>
      <c r="N160" s="34"/>
      <c r="O160" s="68"/>
      <c r="P160" s="310"/>
      <c r="R160" s="8"/>
      <c r="U160" s="723">
        <f ca="1">IF(AND($X$139=7,$AA$144=0,$AB$144=0),'PC40 Graphs'!$B16,IF(AND($X$139=6,$AA$143=0,$AB$143=0),'PC40 Graphs'!$D16,IF(AND($X$139=5,$AA$142=0,$AB$142=0),'PC40 Graphs'!$F16,IF(AND($X$139=4,$AA$141=0,$AB$141=0),'PC32 Graphs'!$B16,IF(AND($X$139=3,$AA$140=0,$AB$140=0),'PC32 Graphs'!$D16,IF(AND($X$139=2,$AA$139=0,$AB$139=0),'PC25 Graphs'!$B17,IF(AND($X$139=1,$AA$138=0,$AB$138=0),'PC25 Graphs'!$D17)))))))</f>
        <v>293.33333333333331</v>
      </c>
      <c r="V160" s="48">
        <f ca="1">IF(AND($X$139=7,$AA$144=0,$AB$144=0),'PC40 Graphs'!$C16,IF(AND($X$139=6,$AA$143=0,$AB$143=0),'PC40 Graphs'!$E16,IF(AND($X$139=5,$AA$142=0,$AB$142=0),'PC40 Graphs'!$G16,IF(AND($X$139=4,$AA$141=0,$AB$141=0),'PC32 Graphs'!$C16,IF(AND($X$139=3,$AA$140=0,$AB$140=0),'PC32 Graphs'!$E16,IF(AND($X$139=2,$AA$139=0,$AB$139=0),'PC25 Graphs'!$C17,IF(AND($X$139=1,$AA$138=0,$AB$138=0),'PC25 Graphs'!$E17)))))))</f>
        <v>235</v>
      </c>
      <c r="W160" s="782">
        <f ca="1">IF(AND($X$139=7,$AA$144=0,$AB$144=0),'PC40 Graphs'!$B74,IF(AND($X$139=6,$AA$143=0,$AB$143=0),'PC40 Graphs'!$D74,IF(AND($X$139=5,$AA$142=0,$AB$142=0),'PC40 Graphs'!$F74,IF(AND($X$139=4,$AA$141=0,$AB$141=0),'PC32 Graphs'!$B73,IF(AND($X$139=3,$AA$140=0,$AB$140=0),'PC32 Graphs'!$D73,IF(AND($X$139=2,$AA$139=0,$AB$139=0),'PC25 Graphs'!$B74,IF(AND($X$139=1,$AA$138=0,$AB$138=0),'PC25 Graphs'!$D74)))))))</f>
        <v>997.2</v>
      </c>
      <c r="X160" s="783">
        <f ca="1">IF(AND($X$139=7,$AA$144=0,$AB$144=0),'PC40 Graphs'!L74,IF(AND($X$139=6,$AA$143=0,$AB$143=0),'PC40 Graphs'!N74,IF(AND($X$139=5,$AA$142=0,$AB$142=0),'PC40 Graphs'!P74,IF(AND($X$139=4,$AA$141=0,$AB$141=0),'PC32 Graphs'!L73,IF(AND($X$139=3,$AA$140=0,$AB$140=0),'PC32 Graphs'!N73,IF(AND($X$139=2,$AA$139=0,$AB$139=0),'PC25 Graphs'!L74,IF(AND($X$139=1,$AA$138=0,$AB$138=0),'PC25 Graphs'!N74)))))))</f>
        <v>781</v>
      </c>
      <c r="Y160" s="787">
        <f t="shared" ca="1" si="39"/>
        <v>293.33333333333331</v>
      </c>
      <c r="Z160" s="780">
        <f t="shared" ca="1" si="40"/>
        <v>1158</v>
      </c>
      <c r="AA160" s="778">
        <f t="shared" ca="1" si="41"/>
        <v>235</v>
      </c>
      <c r="AB160" s="776"/>
      <c r="AD160" s="797">
        <f ca="1">Calc!B97</f>
        <v>1760</v>
      </c>
      <c r="AE160" s="797">
        <f ca="1">Calc!A97</f>
        <v>0.83800000000000008</v>
      </c>
      <c r="AG160" s="797">
        <f ca="1">Calc!B31</f>
        <v>5983.2</v>
      </c>
      <c r="AH160" s="797">
        <f ca="1">Calc!A31</f>
        <v>2.3272791208791213</v>
      </c>
      <c r="AQ160" s="824">
        <f t="shared" ca="1" si="38"/>
        <v>0.83032000000000006</v>
      </c>
      <c r="AR160" s="824">
        <f t="shared" ca="1" si="35"/>
        <v>2240</v>
      </c>
      <c r="AS160" s="824">
        <f t="shared" ca="1" si="36"/>
        <v>2.1858331428571427</v>
      </c>
      <c r="AT160" s="824">
        <f t="shared" ca="1" si="37"/>
        <v>6265.5</v>
      </c>
      <c r="AV160" s="873"/>
      <c r="AW160" s="873"/>
      <c r="AX160" s="873"/>
      <c r="AY160" s="873"/>
    </row>
    <row r="161" spans="1:51">
      <c r="A161" s="309"/>
      <c r="B161" s="67">
        <v>11</v>
      </c>
      <c r="C161" s="34" t="str">
        <f t="shared" ref="C161:H164" ca="1" si="44">IF(AND($J$150=1,$J$170=2),C220,IF(AND($J$150=1,$J$170=1),C235,IF(AND($J$150=1,$J$170=3),"",IF($J$150=3,C389,""))))</f>
        <v>AKM41H</v>
      </c>
      <c r="D161" s="34">
        <f t="shared" ca="1" si="44"/>
        <v>2.06</v>
      </c>
      <c r="E161" s="34">
        <f t="shared" ca="1" si="44"/>
        <v>6.36</v>
      </c>
      <c r="F161" s="34">
        <f t="shared" ca="1" si="44"/>
        <v>1.62</v>
      </c>
      <c r="G161" s="34">
        <f t="shared" ca="1" si="44"/>
        <v>6000</v>
      </c>
      <c r="H161" s="34">
        <f t="shared" ca="1" si="44"/>
        <v>0.81</v>
      </c>
      <c r="I161" s="34"/>
      <c r="J161" s="897">
        <f>LOOKUP(M162,K162:K163,J162:J163)</f>
        <v>1</v>
      </c>
      <c r="K161" s="897" t="str">
        <f>M162</f>
        <v>Kollmorgen AKM Servo</v>
      </c>
      <c r="L161" s="897"/>
      <c r="M161" s="73"/>
      <c r="N161" s="73"/>
      <c r="O161" s="73"/>
      <c r="P161" s="310"/>
      <c r="U161" s="723">
        <f ca="1">IF(AND($X$139=7,$AA$144=0,$AB$144=0),'PC40 Graphs'!$B17,IF(AND($X$139=6,$AA$143=0,$AB$143=0),'PC40 Graphs'!$D17,IF(AND($X$139=5,$AA$142=0,$AB$142=0),'PC40 Graphs'!$F17,IF(AND($X$139=4,$AA$141=0,$AB$141=0),'PC32 Graphs'!$B17,IF(AND($X$139=3,$AA$140=0,$AB$140=0),'PC32 Graphs'!$D17,IF(AND($X$139=2,$AA$139=0,$AB$139=0),'PC25 Graphs'!$B18,IF(AND($X$139=1,$AA$138=0,$AB$138=0),'PC25 Graphs'!$D18)))))))</f>
        <v>320</v>
      </c>
      <c r="V161" s="48">
        <f ca="1">IF(AND($X$139=7,$AA$144=0,$AB$144=0),'PC40 Graphs'!$C17,IF(AND($X$139=6,$AA$143=0,$AB$143=0),'PC40 Graphs'!$E17,IF(AND($X$139=5,$AA$142=0,$AB$142=0),'PC40 Graphs'!$G17,IF(AND($X$139=4,$AA$141=0,$AB$141=0),'PC32 Graphs'!$C17,IF(AND($X$139=3,$AA$140=0,$AB$140=0),'PC32 Graphs'!$E17,IF(AND($X$139=2,$AA$139=0,$AB$139=0),'PC25 Graphs'!$C18,IF(AND($X$139=1,$AA$138=0,$AB$138=0),'PC25 Graphs'!$E18)))))))</f>
        <v>229</v>
      </c>
      <c r="W161" s="782">
        <f ca="1">IF(AND($X$139=7,$AA$144=0,$AB$144=0),'PC40 Graphs'!$B75,IF(AND($X$139=6,$AA$143=0,$AB$143=0),'PC40 Graphs'!$D75,IF(AND($X$139=5,$AA$142=0,$AB$142=0),'PC40 Graphs'!$F75,IF(AND($X$139=4,$AA$141=0,$AB$141=0),'PC32 Graphs'!$B74,IF(AND($X$139=3,$AA$140=0,$AB$140=0),'PC32 Graphs'!$D74,IF(AND($X$139=2,$AA$139=0,$AB$139=0),'PC25 Graphs'!$B75,IF(AND($X$139=1,$AA$138=0,$AB$138=0),'PC25 Graphs'!$D75)))))))</f>
        <v>1000</v>
      </c>
      <c r="X161" s="783">
        <f ca="1">IF(AND($X$139=7,$AA$144=0,$AB$144=0),'PC40 Graphs'!L75,IF(AND($X$139=6,$AA$143=0,$AB$143=0),'PC40 Graphs'!N75,IF(AND($X$139=5,$AA$142=0,$AB$142=0),'PC40 Graphs'!P75,IF(AND($X$139=4,$AA$141=0,$AB$141=0),'PC32 Graphs'!L74,IF(AND($X$139=3,$AA$140=0,$AB$140=0),'PC32 Graphs'!N74,IF(AND($X$139=2,$AA$139=0,$AB$139=0),'PC25 Graphs'!L75,IF(AND($X$139=1,$AA$138=0,$AB$138=0),'PC25 Graphs'!N75)))))))</f>
        <v>758</v>
      </c>
      <c r="Y161" s="787">
        <f t="shared" ca="1" si="39"/>
        <v>320</v>
      </c>
      <c r="Z161" s="780">
        <f t="shared" ca="1" si="40"/>
        <v>1158</v>
      </c>
      <c r="AA161" s="778">
        <f t="shared" ca="1" si="41"/>
        <v>229</v>
      </c>
      <c r="AB161" s="776"/>
      <c r="AD161" s="797">
        <f ca="1">Calc!B98</f>
        <v>1920</v>
      </c>
      <c r="AE161" s="797">
        <f ca="1">Calc!A98</f>
        <v>0.83544000000000007</v>
      </c>
      <c r="AG161" s="797">
        <f ca="1">Calc!B32</f>
        <v>6075.6</v>
      </c>
      <c r="AH161" s="797">
        <f ca="1">Calc!A32</f>
        <v>2.2807268571428576</v>
      </c>
      <c r="AQ161" s="824">
        <f t="shared" ca="1" si="38"/>
        <v>0.82776000000000005</v>
      </c>
      <c r="AR161" s="824">
        <f t="shared" ca="1" si="35"/>
        <v>2400</v>
      </c>
      <c r="AS161" s="824">
        <f t="shared" ca="1" si="36"/>
        <v>2.1374916923076923</v>
      </c>
      <c r="AT161" s="824">
        <f t="shared" ca="1" si="37"/>
        <v>6362.9</v>
      </c>
      <c r="AV161" s="873"/>
      <c r="AW161" s="873"/>
      <c r="AX161" s="873"/>
      <c r="AY161" s="873"/>
    </row>
    <row r="162" spans="1:51">
      <c r="A162" s="309"/>
      <c r="B162" s="67">
        <v>12</v>
      </c>
      <c r="C162" s="34" t="str">
        <f t="shared" ca="1" si="44"/>
        <v>AKM42J</v>
      </c>
      <c r="D162" s="34">
        <f t="shared" ca="1" si="44"/>
        <v>3.56</v>
      </c>
      <c r="E162" s="34">
        <f t="shared" ca="1" si="44"/>
        <v>11.6</v>
      </c>
      <c r="F162" s="34">
        <f t="shared" ca="1" si="44"/>
        <v>2.38</v>
      </c>
      <c r="G162" s="34">
        <f t="shared" ca="1" si="44"/>
        <v>6000</v>
      </c>
      <c r="H162" s="34">
        <f t="shared" ca="1" si="44"/>
        <v>1.5</v>
      </c>
      <c r="I162" s="34"/>
      <c r="J162" s="34">
        <v>1</v>
      </c>
      <c r="K162" s="34" t="s">
        <v>1942</v>
      </c>
      <c r="L162" s="34"/>
      <c r="M162" s="34" t="s">
        <v>1942</v>
      </c>
      <c r="N162" s="34"/>
      <c r="O162" s="34"/>
      <c r="P162" s="310"/>
      <c r="U162" s="723">
        <f ca="1">IF(AND($X$139=7,$AA$144=0,$AB$144=0),'PC40 Graphs'!$B18,IF(AND($X$139=6,$AA$143=0,$AB$143=0),'PC40 Graphs'!$D18,IF(AND($X$139=5,$AA$142=0,$AB$142=0),'PC40 Graphs'!$F18,IF(AND($X$139=4,$AA$141=0,$AB$141=0),'PC32 Graphs'!$B18,IF(AND($X$139=3,$AA$140=0,$AB$140=0),'PC32 Graphs'!$D18,IF(AND($X$139=2,$AA$139=0,$AB$139=0),'PC25 Graphs'!$B19,IF(AND($X$139=1,$AA$138=0,$AB$138=0),'PC25 Graphs'!$D19)))))))</f>
        <v>346.66666666666663</v>
      </c>
      <c r="V162" s="48">
        <f ca="1">IF(AND($X$139=7,$AA$144=0,$AB$144=0),'PC40 Graphs'!$C18,IF(AND($X$139=6,$AA$143=0,$AB$143=0),'PC40 Graphs'!$E18,IF(AND($X$139=5,$AA$142=0,$AB$142=0),'PC40 Graphs'!$G18,IF(AND($X$139=4,$AA$141=0,$AB$141=0),'PC32 Graphs'!$C18,IF(AND($X$139=3,$AA$140=0,$AB$140=0),'PC32 Graphs'!$E18,IF(AND($X$139=2,$AA$139=0,$AB$139=0),'PC25 Graphs'!$C19,IF(AND($X$139=1,$AA$138=0,$AB$138=0),'PC25 Graphs'!$E19)))))))</f>
        <v>223</v>
      </c>
      <c r="W162" s="782">
        <f ca="1">IF(AND($X$139=7,$AA$144=0,$AB$144=0),'PC40 Graphs'!$B76,IF(AND($X$139=6,$AA$143=0,$AB$143=0),'PC40 Graphs'!$D76,IF(AND($X$139=5,$AA$142=0,$AB$142=0),'PC40 Graphs'!$F76,IF(AND($X$139=4,$AA$141=0,$AB$141=0),'PC32 Graphs'!$B75,IF(AND($X$139=3,$AA$140=0,$AB$140=0),'PC32 Graphs'!$D75,IF(AND($X$139=2,$AA$139=0,$AB$139=0),'PC25 Graphs'!$B76,IF(AND($X$139=1,$AA$138=0,$AB$138=0),'PC25 Graphs'!$D76)))))))</f>
        <v>1000</v>
      </c>
      <c r="X162" s="783">
        <f ca="1">IF(AND($X$139=7,$AA$144=0,$AB$144=0),'PC40 Graphs'!L76,IF(AND($X$139=6,$AA$143=0,$AB$143=0),'PC40 Graphs'!N76,IF(AND($X$139=5,$AA$142=0,$AB$142=0),'PC40 Graphs'!P76,IF(AND($X$139=4,$AA$141=0,$AB$141=0),'PC32 Graphs'!L75,IF(AND($X$139=3,$AA$140=0,$AB$140=0),'PC32 Graphs'!N75,IF(AND($X$139=2,$AA$139=0,$AB$139=0),'PC25 Graphs'!L76,IF(AND($X$139=1,$AA$138=0,$AB$138=0),'PC25 Graphs'!N76)))))))</f>
        <v>733</v>
      </c>
      <c r="Y162" s="787">
        <f t="shared" ca="1" si="39"/>
        <v>346.66666666666663</v>
      </c>
      <c r="Z162" s="780">
        <f t="shared" ca="1" si="40"/>
        <v>1158</v>
      </c>
      <c r="AA162" s="778">
        <f t="shared" ca="1" si="41"/>
        <v>223</v>
      </c>
      <c r="AB162" s="776"/>
      <c r="AD162" s="797">
        <f ca="1">Calc!B99</f>
        <v>2080</v>
      </c>
      <c r="AE162" s="797">
        <f ca="1">Calc!A99</f>
        <v>0.83288000000000006</v>
      </c>
      <c r="AG162" s="797">
        <f ca="1">Calc!B33</f>
        <v>6169.7</v>
      </c>
      <c r="AH162" s="797">
        <f ca="1">Calc!A33</f>
        <v>2.2335781978021974</v>
      </c>
      <c r="AQ162" s="824">
        <f t="shared" ca="1" si="38"/>
        <v>0.82520000000000004</v>
      </c>
      <c r="AR162" s="824">
        <f t="shared" ca="1" si="35"/>
        <v>2560</v>
      </c>
      <c r="AS162" s="824">
        <f t="shared" ca="1" si="36"/>
        <v>2.0885538461538462</v>
      </c>
      <c r="AT162" s="824">
        <f t="shared" ca="1" si="37"/>
        <v>6461.9</v>
      </c>
      <c r="AV162" s="873"/>
      <c r="AW162" s="873"/>
      <c r="AX162" s="873"/>
      <c r="AY162" s="873"/>
    </row>
    <row r="163" spans="1:51">
      <c r="A163" s="309"/>
      <c r="B163" s="67">
        <v>13</v>
      </c>
      <c r="C163" s="34" t="str">
        <f t="shared" ca="1" si="44"/>
        <v>AKM43L</v>
      </c>
      <c r="D163" s="34">
        <f t="shared" ca="1" si="44"/>
        <v>4.7300000000000004</v>
      </c>
      <c r="E163" s="34">
        <f t="shared" ca="1" si="44"/>
        <v>16</v>
      </c>
      <c r="F163" s="34">
        <f t="shared" ca="1" si="44"/>
        <v>2.5299999999999998</v>
      </c>
      <c r="G163" s="34">
        <f t="shared" ca="1" si="44"/>
        <v>6000</v>
      </c>
      <c r="H163" s="34">
        <f t="shared" ca="1" si="44"/>
        <v>2.1</v>
      </c>
      <c r="I163" s="34"/>
      <c r="J163" s="34">
        <v>2</v>
      </c>
      <c r="K163" s="34" t="s">
        <v>396</v>
      </c>
      <c r="L163" s="34"/>
      <c r="M163" s="34"/>
      <c r="N163" s="34"/>
      <c r="O163" s="34"/>
      <c r="P163" s="310"/>
      <c r="U163" s="723">
        <f ca="1">IF(AND($X$139=7,$AA$144=0,$AB$144=0),'PC40 Graphs'!$B19,IF(AND($X$139=6,$AA$143=0,$AB$143=0),'PC40 Graphs'!$D19,IF(AND($X$139=5,$AA$142=0,$AB$142=0),'PC40 Graphs'!$F19,IF(AND($X$139=4,$AA$141=0,$AB$141=0),'PC32 Graphs'!$B19,IF(AND($X$139=3,$AA$140=0,$AB$140=0),'PC32 Graphs'!$D19,IF(AND($X$139=2,$AA$139=0,$AB$139=0),'PC25 Graphs'!$B20,IF(AND($X$139=1,$AA$138=0,$AB$138=0),'PC25 Graphs'!$D20)))))))</f>
        <v>373.33333333333337</v>
      </c>
      <c r="V163" s="48">
        <f ca="1">IF(AND($X$139=7,$AA$144=0,$AB$144=0),'PC40 Graphs'!$C19,IF(AND($X$139=6,$AA$143=0,$AB$143=0),'PC40 Graphs'!$E19,IF(AND($X$139=5,$AA$142=0,$AB$142=0),'PC40 Graphs'!$G19,IF(AND($X$139=4,$AA$141=0,$AB$141=0),'PC32 Graphs'!$C19,IF(AND($X$139=3,$AA$140=0,$AB$140=0),'PC32 Graphs'!$E19,IF(AND($X$139=2,$AA$139=0,$AB$139=0),'PC25 Graphs'!$C20,IF(AND($X$139=1,$AA$138=0,$AB$138=0),'PC25 Graphs'!$E20)))))))</f>
        <v>217</v>
      </c>
      <c r="W163" s="782">
        <f ca="1">IF(AND($X$139=7,$AA$144=0,$AB$144=0),'PC40 Graphs'!$B77,IF(AND($X$139=6,$AA$143=0,$AB$143=0),'PC40 Graphs'!$D77,IF(AND($X$139=5,$AA$142=0,$AB$142=0),'PC40 Graphs'!$F77,IF(AND($X$139=4,$AA$141=0,$AB$141=0),'PC32 Graphs'!$B76,IF(AND($X$139=3,$AA$140=0,$AB$140=0),'PC32 Graphs'!$D76,IF(AND($X$139=2,$AA$139=0,$AB$139=0),'PC25 Graphs'!$B77,IF(AND($X$139=1,$AA$138=0,$AB$138=0),'PC25 Graphs'!$D77)))))))</f>
        <v>1000</v>
      </c>
      <c r="X163" s="783">
        <f ca="1">IF(AND($X$139=7,$AA$144=0,$AB$144=0),'PC40 Graphs'!L77,IF(AND($X$139=6,$AA$143=0,$AB$143=0),'PC40 Graphs'!N77,IF(AND($X$139=5,$AA$142=0,$AB$142=0),'PC40 Graphs'!P77,IF(AND($X$139=4,$AA$141=0,$AB$141=0),'PC32 Graphs'!L76,IF(AND($X$139=3,$AA$140=0,$AB$140=0),'PC32 Graphs'!N76,IF(AND($X$139=2,$AA$139=0,$AB$139=0),'PC25 Graphs'!L77,IF(AND($X$139=1,$AA$138=0,$AB$138=0),'PC25 Graphs'!N77)))))))</f>
        <v>709</v>
      </c>
      <c r="Y163" s="787">
        <f t="shared" ca="1" si="39"/>
        <v>373.33333333333337</v>
      </c>
      <c r="Z163" s="780">
        <f t="shared" ca="1" si="40"/>
        <v>1158</v>
      </c>
      <c r="AA163" s="778">
        <f t="shared" ca="1" si="41"/>
        <v>217</v>
      </c>
      <c r="AB163" s="776"/>
      <c r="AD163" s="797">
        <f ca="1">Calc!B100</f>
        <v>2240</v>
      </c>
      <c r="AE163" s="797">
        <f ca="1">Calc!A100</f>
        <v>0.83032000000000006</v>
      </c>
      <c r="AG163" s="797">
        <f ca="1">Calc!B34</f>
        <v>6265.5</v>
      </c>
      <c r="AH163" s="797">
        <f ca="1">Calc!A34</f>
        <v>2.1858331428571427</v>
      </c>
      <c r="AQ163" s="824">
        <f t="shared" ca="1" si="38"/>
        <v>0.82264000000000004</v>
      </c>
      <c r="AR163" s="824">
        <f t="shared" ca="1" si="35"/>
        <v>2720</v>
      </c>
      <c r="AS163" s="824">
        <f t="shared" ca="1" si="36"/>
        <v>2.0390196043956044</v>
      </c>
      <c r="AT163" s="824">
        <f t="shared" ca="1" si="37"/>
        <v>6562.5</v>
      </c>
      <c r="AV163" s="873"/>
      <c r="AW163" s="873"/>
      <c r="AX163" s="873"/>
      <c r="AY163" s="873"/>
    </row>
    <row r="164" spans="1:51">
      <c r="A164" s="309"/>
      <c r="B164" s="67">
        <v>14</v>
      </c>
      <c r="C164" s="34" t="str">
        <f t="shared" ca="1" si="44"/>
        <v>AKM44J</v>
      </c>
      <c r="D164" s="34">
        <f t="shared" ca="1" si="44"/>
        <v>6</v>
      </c>
      <c r="E164" s="34">
        <f t="shared" ca="1" si="44"/>
        <v>20.399999999999999</v>
      </c>
      <c r="F164" s="34">
        <f t="shared" ca="1" si="44"/>
        <v>3.84</v>
      </c>
      <c r="G164" s="34">
        <f t="shared" ca="1" si="44"/>
        <v>4000</v>
      </c>
      <c r="H164" s="34">
        <f t="shared" ca="1" si="44"/>
        <v>2.7</v>
      </c>
      <c r="I164" s="34"/>
      <c r="J164" s="34"/>
      <c r="K164" s="34"/>
      <c r="L164" s="34"/>
      <c r="M164" s="34"/>
      <c r="N164" s="34"/>
      <c r="O164" s="34"/>
      <c r="P164" s="310"/>
      <c r="U164" s="723">
        <f ca="1">IF(AND($X$139=7,$AA$144=0,$AB$144=0),'PC40 Graphs'!$B20,IF(AND($X$139=6,$AA$143=0,$AB$143=0),'PC40 Graphs'!$D20,IF(AND($X$139=5,$AA$142=0,$AB$142=0),'PC40 Graphs'!$F20,IF(AND($X$139=4,$AA$141=0,$AB$141=0),'PC32 Graphs'!$B20,IF(AND($X$139=3,$AA$140=0,$AB$140=0),'PC32 Graphs'!$D20,IF(AND($X$139=2,$AA$139=0,$AB$139=0),'PC25 Graphs'!$B21,IF(AND($X$139=1,$AA$138=0,$AB$138=0),'PC25 Graphs'!$D21)))))))</f>
        <v>400</v>
      </c>
      <c r="V164" s="48">
        <f ca="1">IF(AND($X$139=7,$AA$144=0,$AB$144=0),'PC40 Graphs'!$C20,IF(AND($X$139=6,$AA$143=0,$AB$143=0),'PC40 Graphs'!$E20,IF(AND($X$139=5,$AA$142=0,$AB$142=0),'PC40 Graphs'!$G20,IF(AND($X$139=4,$AA$141=0,$AB$141=0),'PC32 Graphs'!$C20,IF(AND($X$139=3,$AA$140=0,$AB$140=0),'PC32 Graphs'!$E20,IF(AND($X$139=2,$AA$139=0,$AB$139=0),'PC25 Graphs'!$C21,IF(AND($X$139=1,$AA$138=0,$AB$138=0),'PC25 Graphs'!$E21)))))))</f>
        <v>211</v>
      </c>
      <c r="W164" s="782">
        <f ca="1">IF(AND($X$139=7,$AA$144=0,$AB$144=0),'PC40 Graphs'!$B78,IF(AND($X$139=6,$AA$143=0,$AB$143=0),'PC40 Graphs'!$D78,IF(AND($X$139=5,$AA$142=0,$AB$142=0),'PC40 Graphs'!$F78,IF(AND($X$139=4,$AA$141=0,$AB$141=0),'PC32 Graphs'!$B77,IF(AND($X$139=3,$AA$140=0,$AB$140=0),'PC32 Graphs'!$D77,IF(AND($X$139=2,$AA$139=0,$AB$139=0),'PC25 Graphs'!$B78,IF(AND($X$139=1,$AA$138=0,$AB$138=0),'PC25 Graphs'!$D78)))))))</f>
        <v>1000</v>
      </c>
      <c r="X164" s="783">
        <f ca="1">IF(AND($X$139=7,$AA$144=0,$AB$144=0),'PC40 Graphs'!L78,IF(AND($X$139=6,$AA$143=0,$AB$143=0),'PC40 Graphs'!N78,IF(AND($X$139=5,$AA$142=0,$AB$142=0),'PC40 Graphs'!P78,IF(AND($X$139=4,$AA$141=0,$AB$141=0),'PC32 Graphs'!L77,IF(AND($X$139=3,$AA$140=0,$AB$140=0),'PC32 Graphs'!N77,IF(AND($X$139=2,$AA$139=0,$AB$139=0),'PC25 Graphs'!L78,IF(AND($X$139=1,$AA$138=0,$AB$138=0),'PC25 Graphs'!N78)))))))</f>
        <v>684</v>
      </c>
      <c r="Y164" s="787">
        <f t="shared" ca="1" si="39"/>
        <v>400</v>
      </c>
      <c r="Z164" s="780">
        <f t="shared" ca="1" si="40"/>
        <v>1158</v>
      </c>
      <c r="AA164" s="778">
        <f t="shared" ca="1" si="41"/>
        <v>211</v>
      </c>
      <c r="AB164" s="776"/>
      <c r="AD164" s="797">
        <f ca="1">Calc!B101</f>
        <v>2400</v>
      </c>
      <c r="AE164" s="797">
        <f ca="1">Calc!A101</f>
        <v>0.82776000000000005</v>
      </c>
      <c r="AG164" s="797">
        <f ca="1">Calc!B35</f>
        <v>6362.9</v>
      </c>
      <c r="AH164" s="797">
        <f ca="1">Calc!A35</f>
        <v>2.1374916923076923</v>
      </c>
      <c r="AQ164" s="824">
        <f t="shared" ca="1" si="38"/>
        <v>0.82008000000000003</v>
      </c>
      <c r="AR164" s="824">
        <f t="shared" ca="1" si="35"/>
        <v>2880</v>
      </c>
      <c r="AS164" s="824">
        <f t="shared" ca="1" si="36"/>
        <v>1.9888889670329672</v>
      </c>
      <c r="AT164" s="824">
        <f t="shared" ca="1" si="37"/>
        <v>6664.7</v>
      </c>
      <c r="AV164" s="873"/>
      <c r="AW164" s="873"/>
      <c r="AX164" s="873"/>
      <c r="AY164" s="873"/>
    </row>
    <row r="165" spans="1:51">
      <c r="A165" s="309"/>
      <c r="B165" s="67">
        <v>15</v>
      </c>
      <c r="C165" s="34" t="str">
        <f t="shared" ref="C165:H174" ca="1" si="45">IF(AND($J$150=1,$J$170=2),"",IF(AND($J$150=1,$J$170=1),"",IF(AND($J$150=1,$J$170=3),"",IF($J$150=3,C393,""))))</f>
        <v/>
      </c>
      <c r="D165" s="34" t="str">
        <f t="shared" ca="1" si="45"/>
        <v/>
      </c>
      <c r="E165" s="34" t="str">
        <f t="shared" ca="1" si="45"/>
        <v/>
      </c>
      <c r="F165" s="34" t="str">
        <f t="shared" ca="1" si="45"/>
        <v/>
      </c>
      <c r="G165" s="34" t="str">
        <f t="shared" ca="1" si="45"/>
        <v/>
      </c>
      <c r="H165" s="34" t="str">
        <f t="shared" ca="1" si="45"/>
        <v/>
      </c>
      <c r="I165" s="34"/>
      <c r="J165" s="34"/>
      <c r="K165" s="34"/>
      <c r="L165" s="34"/>
      <c r="M165" s="34"/>
      <c r="N165" s="34"/>
      <c r="O165" s="34"/>
      <c r="P165" s="310"/>
      <c r="U165" s="723">
        <f ca="1">IF(AND($X$139=7,$AA$144=0,$AB$144=0),'PC40 Graphs'!$B21,IF(AND($X$139=6,$AA$143=0,$AB$143=0),'PC40 Graphs'!$D21,IF(AND($X$139=5,$AA$142=0,$AB$142=0),'PC40 Graphs'!$F21,IF(AND($X$139=4,$AA$141=0,$AB$141=0),'PC32 Graphs'!$B21,IF(AND($X$139=3,$AA$140=0,$AB$140=0),'PC32 Graphs'!$D21,IF(AND($X$139=2,$AA$139=0,$AB$139=0),'PC25 Graphs'!$B22,IF(AND($X$139=1,$AA$138=0,$AB$138=0),'PC25 Graphs'!$D22)))))))</f>
        <v>426.66666666666663</v>
      </c>
      <c r="V165" s="48">
        <f ca="1">IF(AND($X$139=7,$AA$144=0,$AB$144=0),'PC40 Graphs'!$C21,IF(AND($X$139=6,$AA$143=0,$AB$143=0),'PC40 Graphs'!$E21,IF(AND($X$139=5,$AA$142=0,$AB$142=0),'PC40 Graphs'!$G21,IF(AND($X$139=4,$AA$141=0,$AB$141=0),'PC32 Graphs'!$C21,IF(AND($X$139=3,$AA$140=0,$AB$140=0),'PC32 Graphs'!$E21,IF(AND($X$139=2,$AA$139=0,$AB$139=0),'PC25 Graphs'!$C22,IF(AND($X$139=1,$AA$138=0,$AB$138=0),'PC25 Graphs'!$E22)))))))</f>
        <v>205</v>
      </c>
      <c r="W165" s="782">
        <f ca="1">IF(AND($X$139=7,$AA$144=0,$AB$144=0),'PC40 Graphs'!$B79,IF(AND($X$139=6,$AA$143=0,$AB$143=0),'PC40 Graphs'!$D79,IF(AND($X$139=5,$AA$142=0,$AB$142=0),'PC40 Graphs'!$F79,IF(AND($X$139=4,$AA$141=0,$AB$141=0),'PC32 Graphs'!$B78,IF(AND($X$139=3,$AA$140=0,$AB$140=0),'PC32 Graphs'!$D78,IF(AND($X$139=2,$AA$139=0,$AB$139=0),'PC25 Graphs'!$B79,IF(AND($X$139=1,$AA$138=0,$AB$138=0),'PC25 Graphs'!$D79)))))))</f>
        <v>1000</v>
      </c>
      <c r="X165" s="783">
        <f ca="1">IF(AND($X$139=7,$AA$144=0,$AB$144=0),'PC40 Graphs'!L79,IF(AND($X$139=6,$AA$143=0,$AB$143=0),'PC40 Graphs'!N79,IF(AND($X$139=5,$AA$142=0,$AB$142=0),'PC40 Graphs'!P79,IF(AND($X$139=4,$AA$141=0,$AB$141=0),'PC32 Graphs'!L78,IF(AND($X$139=3,$AA$140=0,$AB$140=0),'PC32 Graphs'!N78,IF(AND($X$139=2,$AA$139=0,$AB$139=0),'PC25 Graphs'!L79,IF(AND($X$139=1,$AA$138=0,$AB$138=0),'PC25 Graphs'!N79)))))))</f>
        <v>659</v>
      </c>
      <c r="Y165" s="787">
        <f t="shared" ca="1" si="39"/>
        <v>426.66666666666663</v>
      </c>
      <c r="Z165" s="780">
        <f t="shared" ca="1" si="40"/>
        <v>1158</v>
      </c>
      <c r="AA165" s="778">
        <f t="shared" ca="1" si="41"/>
        <v>205</v>
      </c>
      <c r="AB165" s="776"/>
      <c r="AD165" s="797">
        <f ca="1">Calc!B102</f>
        <v>2560</v>
      </c>
      <c r="AE165" s="797">
        <f ca="1">Calc!A102</f>
        <v>0.82520000000000004</v>
      </c>
      <c r="AG165" s="797">
        <f ca="1">Calc!B36</f>
        <v>6461.9</v>
      </c>
      <c r="AH165" s="797">
        <f ca="1">Calc!A36</f>
        <v>2.0885538461538462</v>
      </c>
      <c r="AQ165" s="824">
        <f t="shared" ca="1" si="38"/>
        <v>0.81752000000000002</v>
      </c>
      <c r="AR165" s="824">
        <f t="shared" ca="1" si="35"/>
        <v>3040</v>
      </c>
      <c r="AS165" s="824">
        <f t="shared" ca="1" si="36"/>
        <v>1.938161934065934</v>
      </c>
      <c r="AT165" s="824">
        <f t="shared" ca="1" si="37"/>
        <v>6768.4</v>
      </c>
      <c r="AV165" s="873"/>
      <c r="AW165" s="873"/>
      <c r="AX165" s="873"/>
      <c r="AY165" s="873"/>
    </row>
    <row r="166" spans="1:51">
      <c r="A166" s="309"/>
      <c r="B166" s="67">
        <v>16</v>
      </c>
      <c r="C166" s="34" t="str">
        <f t="shared" ca="1" si="45"/>
        <v/>
      </c>
      <c r="D166" s="34" t="str">
        <f t="shared" ca="1" si="45"/>
        <v/>
      </c>
      <c r="E166" s="34" t="str">
        <f t="shared" ca="1" si="45"/>
        <v/>
      </c>
      <c r="F166" s="34" t="str">
        <f t="shared" ca="1" si="45"/>
        <v/>
      </c>
      <c r="G166" s="34" t="str">
        <f t="shared" ca="1" si="45"/>
        <v/>
      </c>
      <c r="H166" s="34" t="str">
        <f t="shared" ca="1" si="45"/>
        <v/>
      </c>
      <c r="I166" s="34"/>
      <c r="J166" s="34"/>
      <c r="K166" s="34"/>
      <c r="L166" s="34"/>
      <c r="M166" s="34"/>
      <c r="N166" s="34"/>
      <c r="O166" s="34"/>
      <c r="P166" s="310"/>
      <c r="U166" s="723">
        <f ca="1">IF(AND($X$139=7,$AA$144=0,$AB$144=0),'PC40 Graphs'!$B22,IF(AND($X$139=6,$AA$143=0,$AB$143=0),'PC40 Graphs'!$D22,IF(AND($X$139=5,$AA$142=0,$AB$142=0),'PC40 Graphs'!$F22,IF(AND($X$139=4,$AA$141=0,$AB$141=0),'PC32 Graphs'!$B22,IF(AND($X$139=3,$AA$140=0,$AB$140=0),'PC32 Graphs'!$D22,IF(AND($X$139=2,$AA$139=0,$AB$139=0),'PC25 Graphs'!$B23,IF(AND($X$139=1,$AA$138=0,$AB$138=0),'PC25 Graphs'!$D23)))))))</f>
        <v>453.33333333333337</v>
      </c>
      <c r="V166" s="48">
        <f ca="1">IF(AND($X$139=7,$AA$144=0,$AB$144=0),'PC40 Graphs'!$C22,IF(AND($X$139=6,$AA$143=0,$AB$143=0),'PC40 Graphs'!$E22,IF(AND($X$139=5,$AA$142=0,$AB$142=0),'PC40 Graphs'!$G22,IF(AND($X$139=4,$AA$141=0,$AB$141=0),'PC32 Graphs'!$C22,IF(AND($X$139=3,$AA$140=0,$AB$140=0),'PC32 Graphs'!$E22,IF(AND($X$139=2,$AA$139=0,$AB$139=0),'PC25 Graphs'!$C23,IF(AND($X$139=1,$AA$138=0,$AB$138=0),'PC25 Graphs'!$E23)))))))</f>
        <v>199</v>
      </c>
      <c r="W166" s="782">
        <f ca="1">IF(AND($X$139=7,$AA$144=0,$AB$144=0),'PC40 Graphs'!$B80,IF(AND($X$139=6,$AA$143=0,$AB$143=0),'PC40 Graphs'!$D80,IF(AND($X$139=5,$AA$142=0,$AB$142=0),'PC40 Graphs'!$F80,IF(AND($X$139=4,$AA$141=0,$AB$141=0),'PC32 Graphs'!$B79,IF(AND($X$139=3,$AA$140=0,$AB$140=0),'PC32 Graphs'!$D79,IF(AND($X$139=2,$AA$139=0,$AB$139=0),'PC25 Graphs'!$B80,IF(AND($X$139=1,$AA$138=0,$AB$138=0),'PC25 Graphs'!$D80)))))))</f>
        <v>1000</v>
      </c>
      <c r="X166" s="783">
        <f ca="1">IF(AND($X$139=7,$AA$144=0,$AB$144=0),'PC40 Graphs'!L80,IF(AND($X$139=6,$AA$143=0,$AB$143=0),'PC40 Graphs'!N80,IF(AND($X$139=5,$AA$142=0,$AB$142=0),'PC40 Graphs'!P80,IF(AND($X$139=4,$AA$141=0,$AB$141=0),'PC32 Graphs'!L79,IF(AND($X$139=3,$AA$140=0,$AB$140=0),'PC32 Graphs'!N79,IF(AND($X$139=2,$AA$139=0,$AB$139=0),'PC25 Graphs'!L80,IF(AND($X$139=1,$AA$138=0,$AB$138=0),'PC25 Graphs'!N80)))))))</f>
        <v>634</v>
      </c>
      <c r="Y166" s="787">
        <f t="shared" ca="1" si="39"/>
        <v>453.33333333333337</v>
      </c>
      <c r="Z166" s="780">
        <f t="shared" ca="1" si="40"/>
        <v>1158</v>
      </c>
      <c r="AA166" s="778">
        <f t="shared" ca="1" si="41"/>
        <v>199</v>
      </c>
      <c r="AB166" s="776"/>
      <c r="AD166" s="797">
        <f ca="1">Calc!B103</f>
        <v>2720</v>
      </c>
      <c r="AE166" s="797">
        <f ca="1">Calc!A103</f>
        <v>0.82264000000000004</v>
      </c>
      <c r="AG166" s="797">
        <f ca="1">Calc!B37</f>
        <v>6562.5</v>
      </c>
      <c r="AH166" s="797">
        <f ca="1">Calc!A37</f>
        <v>2.0390196043956044</v>
      </c>
      <c r="AQ166" s="824">
        <f t="shared" ca="1" si="38"/>
        <v>0.81496000000000002</v>
      </c>
      <c r="AR166" s="824">
        <f t="shared" ca="1" si="35"/>
        <v>3200</v>
      </c>
      <c r="AS166" s="824">
        <f t="shared" ca="1" si="36"/>
        <v>1.8868385054945054</v>
      </c>
      <c r="AT166" s="824">
        <f t="shared" ca="1" si="37"/>
        <v>6873.6</v>
      </c>
      <c r="AV166" s="873"/>
      <c r="AW166" s="873"/>
      <c r="AX166" s="873"/>
      <c r="AY166" s="873"/>
    </row>
    <row r="167" spans="1:51">
      <c r="A167" s="309"/>
      <c r="B167" s="67">
        <v>17</v>
      </c>
      <c r="C167" s="34" t="str">
        <f t="shared" ca="1" si="45"/>
        <v/>
      </c>
      <c r="D167" s="34" t="str">
        <f t="shared" ca="1" si="45"/>
        <v/>
      </c>
      <c r="E167" s="34" t="str">
        <f t="shared" ca="1" si="45"/>
        <v/>
      </c>
      <c r="F167" s="34" t="str">
        <f t="shared" ca="1" si="45"/>
        <v/>
      </c>
      <c r="G167" s="34" t="str">
        <f t="shared" ca="1" si="45"/>
        <v/>
      </c>
      <c r="H167" s="34" t="str">
        <f t="shared" ca="1" si="45"/>
        <v/>
      </c>
      <c r="I167" s="34"/>
      <c r="J167" s="34"/>
      <c r="K167" s="34"/>
      <c r="L167" s="34"/>
      <c r="M167" s="34"/>
      <c r="N167" s="34"/>
      <c r="O167" s="34"/>
      <c r="P167" s="310"/>
      <c r="U167" s="723">
        <f ca="1">IF(AND($X$139=7,$AA$144=0,$AB$144=0),'PC40 Graphs'!$B23,IF(AND($X$139=6,$AA$143=0,$AB$143=0),'PC40 Graphs'!$D23,IF(AND($X$139=5,$AA$142=0,$AB$142=0),'PC40 Graphs'!$F23,IF(AND($X$139=4,$AA$141=0,$AB$141=0),'PC32 Graphs'!$B23,IF(AND($X$139=3,$AA$140=0,$AB$140=0),'PC32 Graphs'!$D23,IF(AND($X$139=2,$AA$139=0,$AB$139=0),'PC25 Graphs'!$B24,IF(AND($X$139=1,$AA$138=0,$AB$138=0),'PC25 Graphs'!$D24)))))))</f>
        <v>480</v>
      </c>
      <c r="V167" s="48">
        <f ca="1">IF(AND($X$139=7,$AA$144=0,$AB$144=0),'PC40 Graphs'!$C23,IF(AND($X$139=6,$AA$143=0,$AB$143=0),'PC40 Graphs'!$E23,IF(AND($X$139=5,$AA$142=0,$AB$142=0),'PC40 Graphs'!$G23,IF(AND($X$139=4,$AA$141=0,$AB$141=0),'PC32 Graphs'!$C23,IF(AND($X$139=3,$AA$140=0,$AB$140=0),'PC32 Graphs'!$E23,IF(AND($X$139=2,$AA$139=0,$AB$139=0),'PC25 Graphs'!$C24,IF(AND($X$139=1,$AA$138=0,$AB$138=0),'PC25 Graphs'!$E24)))))))</f>
        <v>193</v>
      </c>
      <c r="W167" s="782">
        <f ca="1">IF(AND($X$139=7,$AA$144=0,$AB$144=0),'PC40 Graphs'!$B81,IF(AND($X$139=6,$AA$143=0,$AB$143=0),'PC40 Graphs'!$D81,IF(AND($X$139=5,$AA$142=0,$AB$142=0),'PC40 Graphs'!$F81,IF(AND($X$139=4,$AA$141=0,$AB$141=0),'PC32 Graphs'!$B80,IF(AND($X$139=3,$AA$140=0,$AB$140=0),'PC32 Graphs'!$D80,IF(AND($X$139=2,$AA$139=0,$AB$139=0),'PC25 Graphs'!$B81,IF(AND($X$139=1,$AA$138=0,$AB$138=0),'PC25 Graphs'!$D81)))))))</f>
        <v>1000</v>
      </c>
      <c r="X167" s="783">
        <f ca="1">IF(AND($X$139=7,$AA$144=0,$AB$144=0),'PC40 Graphs'!L81,IF(AND($X$139=6,$AA$143=0,$AB$143=0),'PC40 Graphs'!N81,IF(AND($X$139=5,$AA$142=0,$AB$142=0),'PC40 Graphs'!P81,IF(AND($X$139=4,$AA$141=0,$AB$141=0),'PC32 Graphs'!L80,IF(AND($X$139=3,$AA$140=0,$AB$140=0),'PC32 Graphs'!N80,IF(AND($X$139=2,$AA$139=0,$AB$139=0),'PC25 Graphs'!L81,IF(AND($X$139=1,$AA$138=0,$AB$138=0),'PC25 Graphs'!N81)))))))</f>
        <v>608</v>
      </c>
      <c r="Y167" s="787">
        <f t="shared" ca="1" si="39"/>
        <v>480</v>
      </c>
      <c r="Z167" s="780">
        <f t="shared" ca="1" si="40"/>
        <v>1158</v>
      </c>
      <c r="AA167" s="778">
        <f t="shared" ca="1" si="41"/>
        <v>193</v>
      </c>
      <c r="AB167" s="776"/>
      <c r="AD167" s="797">
        <f ca="1">Calc!B104</f>
        <v>2880</v>
      </c>
      <c r="AE167" s="797">
        <f ca="1">Calc!A104</f>
        <v>0.82008000000000003</v>
      </c>
      <c r="AG167" s="797">
        <f ca="1">Calc!B38</f>
        <v>6664.7</v>
      </c>
      <c r="AH167" s="797">
        <f ca="1">Calc!A38</f>
        <v>1.9888889670329672</v>
      </c>
      <c r="AQ167" s="824">
        <f t="shared" ca="1" si="38"/>
        <v>0.81240000000000001</v>
      </c>
      <c r="AR167" s="824">
        <f t="shared" ca="1" si="35"/>
        <v>3360</v>
      </c>
      <c r="AS167" s="824">
        <f t="shared" ca="1" si="36"/>
        <v>1.8349186813186811</v>
      </c>
      <c r="AT167" s="824">
        <f t="shared" ca="1" si="37"/>
        <v>6980.1</v>
      </c>
      <c r="AV167" s="873"/>
      <c r="AW167" s="873"/>
      <c r="AX167" s="873"/>
      <c r="AY167" s="873"/>
    </row>
    <row r="168" spans="1:51">
      <c r="A168" s="309"/>
      <c r="B168" s="67">
        <v>18</v>
      </c>
      <c r="C168" s="34" t="str">
        <f t="shared" ca="1" si="45"/>
        <v/>
      </c>
      <c r="D168" s="34" t="str">
        <f t="shared" ca="1" si="45"/>
        <v/>
      </c>
      <c r="E168" s="34" t="str">
        <f t="shared" ca="1" si="45"/>
        <v/>
      </c>
      <c r="F168" s="34" t="str">
        <f t="shared" ca="1" si="45"/>
        <v/>
      </c>
      <c r="G168" s="34" t="str">
        <f t="shared" ca="1" si="45"/>
        <v/>
      </c>
      <c r="H168" s="34" t="str">
        <f t="shared" ca="1" si="45"/>
        <v/>
      </c>
      <c r="I168" s="34"/>
      <c r="J168" s="34"/>
      <c r="K168" s="34"/>
      <c r="L168" s="34"/>
      <c r="M168" s="34"/>
      <c r="N168" s="34"/>
      <c r="O168" s="34"/>
      <c r="P168" s="310"/>
      <c r="U168" s="723">
        <f ca="1">IF(AND($X$139=7,$AA$144=0,$AB$144=0),'PC40 Graphs'!$B24,IF(AND($X$139=6,$AA$143=0,$AB$143=0),'PC40 Graphs'!$D24,IF(AND($X$139=5,$AA$142=0,$AB$142=0),'PC40 Graphs'!$F24,IF(AND($X$139=4,$AA$141=0,$AB$141=0),'PC32 Graphs'!$B24,IF(AND($X$139=3,$AA$140=0,$AB$140=0),'PC32 Graphs'!$D24,IF(AND($X$139=2,$AA$139=0,$AB$139=0),'PC25 Graphs'!$B25,IF(AND($X$139=1,$AA$138=0,$AB$138=0),'PC25 Graphs'!$D25)))))))</f>
        <v>506.66666666666663</v>
      </c>
      <c r="V168" s="48">
        <f ca="1">IF(AND($X$139=7,$AA$144=0,$AB$144=0),'PC40 Graphs'!$C24,IF(AND($X$139=6,$AA$143=0,$AB$143=0),'PC40 Graphs'!$E24,IF(AND($X$139=5,$AA$142=0,$AB$142=0),'PC40 Graphs'!$G24,IF(AND($X$139=4,$AA$141=0,$AB$141=0),'PC32 Graphs'!$C24,IF(AND($X$139=3,$AA$140=0,$AB$140=0),'PC32 Graphs'!$E24,IF(AND($X$139=2,$AA$139=0,$AB$139=0),'PC25 Graphs'!$C25,IF(AND($X$139=1,$AA$138=0,$AB$138=0),'PC25 Graphs'!$E25)))))))</f>
        <v>187</v>
      </c>
      <c r="W168" s="782">
        <f ca="1">IF(AND($X$139=7,$AA$144=0,$AB$144=0),'PC40 Graphs'!$B82,IF(AND($X$139=6,$AA$143=0,$AB$143=0),'PC40 Graphs'!$D82,IF(AND($X$139=5,$AA$142=0,$AB$142=0),'PC40 Graphs'!$F82,IF(AND($X$139=4,$AA$141=0,$AB$141=0),'PC32 Graphs'!$B81,IF(AND($X$139=3,$AA$140=0,$AB$140=0),'PC32 Graphs'!$D81,IF(AND($X$139=2,$AA$139=0,$AB$139=0),'PC25 Graphs'!$B82,IF(AND($X$139=1,$AA$138=0,$AB$138=0),'PC25 Graphs'!$D82)))))))</f>
        <v>1000</v>
      </c>
      <c r="X168" s="783">
        <f ca="1">IF(AND($X$139=7,$AA$144=0,$AB$144=0),'PC40 Graphs'!L82,IF(AND($X$139=6,$AA$143=0,$AB$143=0),'PC40 Graphs'!N82,IF(AND($X$139=5,$AA$142=0,$AB$142=0),'PC40 Graphs'!P82,IF(AND($X$139=4,$AA$141=0,$AB$141=0),'PC32 Graphs'!L81,IF(AND($X$139=3,$AA$140=0,$AB$140=0),'PC32 Graphs'!N81,IF(AND($X$139=2,$AA$139=0,$AB$139=0),'PC25 Graphs'!L82,IF(AND($X$139=1,$AA$138=0,$AB$138=0),'PC25 Graphs'!N82)))))))</f>
        <v>582</v>
      </c>
      <c r="Y168" s="787">
        <f t="shared" ca="1" si="39"/>
        <v>506.66666666666663</v>
      </c>
      <c r="Z168" s="780">
        <f t="shared" ca="1" si="40"/>
        <v>1158</v>
      </c>
      <c r="AA168" s="778">
        <f t="shared" ca="1" si="41"/>
        <v>187</v>
      </c>
      <c r="AB168" s="776"/>
      <c r="AD168" s="797">
        <f ca="1">Calc!B105</f>
        <v>3040</v>
      </c>
      <c r="AE168" s="797">
        <f ca="1">Calc!A105</f>
        <v>0.81752000000000002</v>
      </c>
      <c r="AG168" s="797">
        <f ca="1">Calc!B39</f>
        <v>6768.4</v>
      </c>
      <c r="AH168" s="797">
        <f ca="1">Calc!A39</f>
        <v>1.938161934065934</v>
      </c>
      <c r="AQ168" s="824">
        <f t="shared" ca="1" si="38"/>
        <v>0.80848888888888892</v>
      </c>
      <c r="AR168" s="824">
        <f t="shared" ca="1" si="35"/>
        <v>3520</v>
      </c>
      <c r="AS168" s="824">
        <f t="shared" ca="1" si="36"/>
        <v>1.7824024615384615</v>
      </c>
      <c r="AT168" s="824">
        <f t="shared" ca="1" si="37"/>
        <v>7088</v>
      </c>
      <c r="AV168" s="873"/>
      <c r="AW168" s="873"/>
      <c r="AX168" s="873"/>
      <c r="AY168" s="873"/>
    </row>
    <row r="169" spans="1:51">
      <c r="A169" s="309"/>
      <c r="B169" s="67">
        <v>19</v>
      </c>
      <c r="C169" s="34" t="str">
        <f t="shared" ca="1" si="45"/>
        <v/>
      </c>
      <c r="D169" s="34" t="str">
        <f t="shared" ca="1" si="45"/>
        <v/>
      </c>
      <c r="E169" s="34" t="str">
        <f t="shared" ca="1" si="45"/>
        <v/>
      </c>
      <c r="F169" s="34" t="str">
        <f t="shared" ca="1" si="45"/>
        <v/>
      </c>
      <c r="G169" s="34" t="str">
        <f t="shared" ca="1" si="45"/>
        <v/>
      </c>
      <c r="H169" s="34" t="str">
        <f t="shared" ca="1" si="45"/>
        <v/>
      </c>
      <c r="I169" s="117"/>
      <c r="J169" s="253" t="s">
        <v>367</v>
      </c>
      <c r="K169" s="254"/>
      <c r="L169" s="255"/>
      <c r="M169" s="279">
        <v>160</v>
      </c>
      <c r="N169" s="34"/>
      <c r="O169" s="34"/>
      <c r="P169" s="310"/>
      <c r="U169" s="723">
        <f ca="1">IF(AND($X$139=7,$AA$144=0,$AB$144=0),'PC40 Graphs'!$B25,IF(AND($X$139=6,$AA$143=0,$AB$143=0),'PC40 Graphs'!$D25,IF(AND($X$139=5,$AA$142=0,$AB$142=0),'PC40 Graphs'!$F25,IF(AND($X$139=4,$AA$141=0,$AB$141=0),'PC32 Graphs'!$B25,IF(AND($X$139=3,$AA$140=0,$AB$140=0),'PC32 Graphs'!$D25,IF(AND($X$139=2,$AA$139=0,$AB$139=0),'PC25 Graphs'!$B26,IF(AND($X$139=1,$AA$138=0,$AB$138=0),'PC25 Graphs'!$D26)))))))</f>
        <v>533.33333333333337</v>
      </c>
      <c r="V169" s="48">
        <f ca="1">IF(AND($X$139=7,$AA$144=0,$AB$144=0),'PC40 Graphs'!$C25,IF(AND($X$139=6,$AA$143=0,$AB$143=0),'PC40 Graphs'!$E25,IF(AND($X$139=5,$AA$142=0,$AB$142=0),'PC40 Graphs'!$G25,IF(AND($X$139=4,$AA$141=0,$AB$141=0),'PC32 Graphs'!$C25,IF(AND($X$139=3,$AA$140=0,$AB$140=0),'PC32 Graphs'!$E25,IF(AND($X$139=2,$AA$139=0,$AB$139=0),'PC25 Graphs'!$C26,IF(AND($X$139=1,$AA$138=0,$AB$138=0),'PC25 Graphs'!$E26)))))))</f>
        <v>181</v>
      </c>
      <c r="W169" s="782">
        <f ca="1">IF(AND($X$139=7,$AA$144=0,$AB$144=0),'PC40 Graphs'!$B83,IF(AND($X$139=6,$AA$143=0,$AB$143=0),'PC40 Graphs'!$D83,IF(AND($X$139=5,$AA$142=0,$AB$142=0),'PC40 Graphs'!$F83,IF(AND($X$139=4,$AA$141=0,$AB$141=0),'PC32 Graphs'!$B82,IF(AND($X$139=3,$AA$140=0,$AB$140=0),'PC32 Graphs'!$D82,IF(AND($X$139=2,$AA$139=0,$AB$139=0),'PC25 Graphs'!$B83,IF(AND($X$139=1,$AA$138=0,$AB$138=0),'PC25 Graphs'!$D83)))))))</f>
        <v>1000</v>
      </c>
      <c r="X169" s="783">
        <f ca="1">IF(AND($X$139=7,$AA$144=0,$AB$144=0),'PC40 Graphs'!L83,IF(AND($X$139=6,$AA$143=0,$AB$143=0),'PC40 Graphs'!N83,IF(AND($X$139=5,$AA$142=0,$AB$142=0),'PC40 Graphs'!P83,IF(AND($X$139=4,$AA$141=0,$AB$141=0),'PC32 Graphs'!L82,IF(AND($X$139=3,$AA$140=0,$AB$140=0),'PC32 Graphs'!N82,IF(AND($X$139=2,$AA$139=0,$AB$139=0),'PC25 Graphs'!L83,IF(AND($X$139=1,$AA$138=0,$AB$138=0),'PC25 Graphs'!N83)))))))</f>
        <v>555</v>
      </c>
      <c r="Y169" s="787">
        <f t="shared" ca="1" si="39"/>
        <v>533.33333333333337</v>
      </c>
      <c r="Z169" s="780">
        <f t="shared" ca="1" si="40"/>
        <v>1158</v>
      </c>
      <c r="AA169" s="778">
        <f t="shared" ca="1" si="41"/>
        <v>181</v>
      </c>
      <c r="AB169" s="776"/>
      <c r="AD169" s="797">
        <f ca="1">Calc!B106</f>
        <v>3200</v>
      </c>
      <c r="AE169" s="797">
        <f ca="1">Calc!A106</f>
        <v>0.81496000000000002</v>
      </c>
      <c r="AG169" s="797">
        <f ca="1">Calc!B40</f>
        <v>6873.6</v>
      </c>
      <c r="AH169" s="797">
        <f ca="1">Calc!A40</f>
        <v>1.8868385054945054</v>
      </c>
      <c r="AQ169" s="824">
        <f t="shared" ca="1" si="38"/>
        <v>0.80457777777777784</v>
      </c>
      <c r="AR169" s="824">
        <f t="shared" ca="1" si="35"/>
        <v>3680</v>
      </c>
      <c r="AS169" s="824">
        <f t="shared" ca="1" si="36"/>
        <v>1.7292898461538462</v>
      </c>
      <c r="AT169" s="824">
        <f t="shared" ca="1" si="37"/>
        <v>7197.1</v>
      </c>
      <c r="AV169" s="873"/>
      <c r="AW169" s="873"/>
      <c r="AX169" s="873"/>
      <c r="AY169" s="873"/>
    </row>
    <row r="170" spans="1:51">
      <c r="A170" s="309"/>
      <c r="B170" s="67">
        <v>20</v>
      </c>
      <c r="C170" s="34" t="str">
        <f t="shared" ca="1" si="45"/>
        <v/>
      </c>
      <c r="D170" s="34" t="str">
        <f t="shared" ca="1" si="45"/>
        <v/>
      </c>
      <c r="E170" s="34" t="str">
        <f t="shared" ca="1" si="45"/>
        <v/>
      </c>
      <c r="F170" s="34" t="str">
        <f t="shared" ca="1" si="45"/>
        <v/>
      </c>
      <c r="G170" s="34" t="str">
        <f t="shared" ca="1" si="45"/>
        <v/>
      </c>
      <c r="H170" s="34" t="str">
        <f t="shared" ca="1" si="45"/>
        <v/>
      </c>
      <c r="I170" s="149"/>
      <c r="J170" s="202">
        <f ca="1">IF(OR($J$150=1,$J$150=2),LOOKUP($K$170,$K$171:$K$173,$J$171:$J$173),"")</f>
        <v>2</v>
      </c>
      <c r="K170" s="371" t="str">
        <f ca="1">IF(OR(J150=1,J150=2),Input!C32,"")</f>
        <v>240</v>
      </c>
      <c r="L170" s="71">
        <f ca="1">IF(J170=1,160,IF(J170=2,320,560))</f>
        <v>320</v>
      </c>
      <c r="M170" s="279">
        <v>320</v>
      </c>
      <c r="N170" s="34"/>
      <c r="O170" s="34"/>
      <c r="P170" s="310"/>
      <c r="U170" s="723">
        <f ca="1">IF(AND($X$139=7,$AA$144=0,$AB$144=0),'PC40 Graphs'!$B26,IF(AND($X$139=6,$AA$143=0,$AB$143=0),'PC40 Graphs'!$D26,IF(AND($X$139=5,$AA$142=0,$AB$142=0),'PC40 Graphs'!$F26,IF(AND($X$139=4,$AA$141=0,$AB$141=0),'PC32 Graphs'!$B26,IF(AND($X$139=3,$AA$140=0,$AB$140=0),'PC32 Graphs'!$D26,IF(AND($X$139=2,$AA$139=0,$AB$139=0),'PC25 Graphs'!$B27,IF(AND($X$139=1,$AA$138=0,$AB$138=0),'PC25 Graphs'!$D27)))))))</f>
        <v>560</v>
      </c>
      <c r="V170" s="48">
        <f ca="1">IF(AND($X$139=7,$AA$144=0,$AB$144=0),'PC40 Graphs'!$C26,IF(AND($X$139=6,$AA$143=0,$AB$143=0),'PC40 Graphs'!$E26,IF(AND($X$139=5,$AA$142=0,$AB$142=0),'PC40 Graphs'!$G26,IF(AND($X$139=4,$AA$141=0,$AB$141=0),'PC32 Graphs'!$C26,IF(AND($X$139=3,$AA$140=0,$AB$140=0),'PC32 Graphs'!$E26,IF(AND($X$139=2,$AA$139=0,$AB$139=0),'PC25 Graphs'!$C27,IF(AND($X$139=1,$AA$138=0,$AB$138=0),'PC25 Graphs'!$E27)))))))</f>
        <v>175</v>
      </c>
      <c r="W170" s="782">
        <f ca="1">IF(AND($X$139=7,$AA$144=0,$AB$144=0),'PC40 Graphs'!$B84,IF(AND($X$139=6,$AA$143=0,$AB$143=0),'PC40 Graphs'!$D84,IF(AND($X$139=5,$AA$142=0,$AB$142=0),'PC40 Graphs'!$F84,IF(AND($X$139=4,$AA$141=0,$AB$141=0),'PC32 Graphs'!$B83,IF(AND($X$139=3,$AA$140=0,$AB$140=0),'PC32 Graphs'!$D83,IF(AND($X$139=2,$AA$139=0,$AB$139=0),'PC25 Graphs'!$B84,IF(AND($X$139=1,$AA$138=0,$AB$138=0),'PC25 Graphs'!$D84)))))))</f>
        <v>1000</v>
      </c>
      <c r="X170" s="783">
        <f ca="1">IF(AND($X$139=7,$AA$144=0,$AB$144=0),'PC40 Graphs'!L84,IF(AND($X$139=6,$AA$143=0,$AB$143=0),'PC40 Graphs'!N84,IF(AND($X$139=5,$AA$142=0,$AB$142=0),'PC40 Graphs'!P84,IF(AND($X$139=4,$AA$141=0,$AB$141=0),'PC32 Graphs'!L83,IF(AND($X$139=3,$AA$140=0,$AB$140=0),'PC32 Graphs'!N83,IF(AND($X$139=2,$AA$139=0,$AB$139=0),'PC25 Graphs'!L84,IF(AND($X$139=1,$AA$138=0,$AB$138=0),'PC25 Graphs'!N84)))))))</f>
        <v>529</v>
      </c>
      <c r="Y170" s="787">
        <f t="shared" ca="1" si="39"/>
        <v>560</v>
      </c>
      <c r="Z170" s="780">
        <f t="shared" ca="1" si="40"/>
        <v>1158</v>
      </c>
      <c r="AA170" s="778">
        <f t="shared" ca="1" si="41"/>
        <v>175</v>
      </c>
      <c r="AB170" s="776"/>
      <c r="AD170" s="797">
        <f ca="1">Calc!B107</f>
        <v>3360</v>
      </c>
      <c r="AE170" s="797">
        <f ca="1">Calc!A107</f>
        <v>0.81240000000000001</v>
      </c>
      <c r="AG170" s="797">
        <f ca="1">Calc!B41</f>
        <v>6980.1</v>
      </c>
      <c r="AH170" s="797">
        <f ca="1">Calc!A41</f>
        <v>1.8349186813186811</v>
      </c>
      <c r="AQ170" s="824">
        <f t="shared" ca="1" si="38"/>
        <v>0.80066666666666675</v>
      </c>
      <c r="AR170" s="824">
        <f t="shared" ca="1" si="35"/>
        <v>3840</v>
      </c>
      <c r="AS170" s="824">
        <f t="shared" ca="1" si="36"/>
        <v>1.6755808351648354</v>
      </c>
      <c r="AT170" s="824">
        <f t="shared" ca="1" si="37"/>
        <v>7307.4</v>
      </c>
      <c r="AV170" s="873"/>
      <c r="AW170" s="873"/>
      <c r="AX170" s="873"/>
      <c r="AY170" s="873"/>
    </row>
    <row r="171" spans="1:51">
      <c r="A171" s="309"/>
      <c r="B171" s="67">
        <v>21</v>
      </c>
      <c r="C171" s="34" t="str">
        <f t="shared" ca="1" si="45"/>
        <v/>
      </c>
      <c r="D171" s="34" t="str">
        <f t="shared" ca="1" si="45"/>
        <v/>
      </c>
      <c r="E171" s="34" t="str">
        <f t="shared" ca="1" si="45"/>
        <v/>
      </c>
      <c r="F171" s="34" t="str">
        <f t="shared" ca="1" si="45"/>
        <v/>
      </c>
      <c r="G171" s="34" t="str">
        <f t="shared" ca="1" si="45"/>
        <v/>
      </c>
      <c r="H171" s="34" t="str">
        <f t="shared" ca="1" si="45"/>
        <v/>
      </c>
      <c r="I171" s="149"/>
      <c r="J171" s="67">
        <v>1</v>
      </c>
      <c r="K171" s="143" t="str">
        <f ca="1">IF(J150=1,"120",IF(J150=2,"12",""))</f>
        <v>120</v>
      </c>
      <c r="L171" s="68"/>
      <c r="M171" s="279">
        <v>560</v>
      </c>
      <c r="N171" s="34"/>
      <c r="O171" s="34"/>
      <c r="P171" s="310"/>
      <c r="U171" s="723">
        <f ca="1">IF(AND($X$139=7,$AA$144=0,$AB$144=0),'PC40 Graphs'!$B27,IF(AND($X$139=6,$AA$143=0,$AB$143=0),'PC40 Graphs'!$D27,IF(AND($X$139=5,$AA$142=0,$AB$142=0),'PC40 Graphs'!$F27,IF(AND($X$139=4,$AA$141=0,$AB$141=0),'PC32 Graphs'!$B27,IF(AND($X$139=3,$AA$140=0,$AB$140=0),'PC32 Graphs'!$D27,IF(AND($X$139=2,$AA$139=0,$AB$139=0),'PC25 Graphs'!$B28,IF(AND($X$139=1,$AA$138=0,$AB$138=0),'PC25 Graphs'!$D28)))))))</f>
        <v>586.66666666666663</v>
      </c>
      <c r="V171" s="48">
        <f ca="1">IF(AND($X$139=7,$AA$144=0,$AB$144=0),'PC40 Graphs'!$C27,IF(AND($X$139=6,$AA$143=0,$AB$143=0),'PC40 Graphs'!$E27,IF(AND($X$139=5,$AA$142=0,$AB$142=0),'PC40 Graphs'!$G27,IF(AND($X$139=4,$AA$141=0,$AB$141=0),'PC32 Graphs'!$C27,IF(AND($X$139=3,$AA$140=0,$AB$140=0),'PC32 Graphs'!$E27,IF(AND($X$139=2,$AA$139=0,$AB$139=0),'PC25 Graphs'!$C28,IF(AND($X$139=1,$AA$138=0,$AB$138=0),'PC25 Graphs'!$E28)))))))</f>
        <v>169</v>
      </c>
      <c r="W171" s="782">
        <f ca="1">IF(AND($X$139=7,$AA$144=0,$AB$144=0),'PC40 Graphs'!$B85,IF(AND($X$139=6,$AA$143=0,$AB$143=0),'PC40 Graphs'!$D85,IF(AND($X$139=5,$AA$142=0,$AB$142=0),'PC40 Graphs'!$F85,IF(AND($X$139=4,$AA$141=0,$AB$141=0),'PC32 Graphs'!$B84,IF(AND($X$139=3,$AA$140=0,$AB$140=0),'PC32 Graphs'!$D84,IF(AND($X$139=2,$AA$139=0,$AB$139=0),'PC25 Graphs'!$B85,IF(AND($X$139=1,$AA$138=0,$AB$138=0),'PC25 Graphs'!$D85)))))))</f>
        <v>1000</v>
      </c>
      <c r="X171" s="783">
        <f ca="1">IF(AND($X$139=7,$AA$144=0,$AB$144=0),'PC40 Graphs'!L85,IF(AND($X$139=6,$AA$143=0,$AB$143=0),'PC40 Graphs'!N85,IF(AND($X$139=5,$AA$142=0,$AB$142=0),'PC40 Graphs'!P85,IF(AND($X$139=4,$AA$141=0,$AB$141=0),'PC32 Graphs'!L84,IF(AND($X$139=3,$AA$140=0,$AB$140=0),'PC32 Graphs'!N84,IF(AND($X$139=2,$AA$139=0,$AB$139=0),'PC25 Graphs'!L85,IF(AND($X$139=1,$AA$138=0,$AB$138=0),'PC25 Graphs'!N85)))))))</f>
        <v>502</v>
      </c>
      <c r="Y171" s="787">
        <f t="shared" ca="1" si="39"/>
        <v>586.66666666666663</v>
      </c>
      <c r="Z171" s="780">
        <f t="shared" ca="1" si="40"/>
        <v>1158</v>
      </c>
      <c r="AA171" s="778">
        <f t="shared" ca="1" si="41"/>
        <v>169</v>
      </c>
      <c r="AB171" s="776"/>
      <c r="AD171" s="797">
        <f ca="1">Calc!B108</f>
        <v>3520</v>
      </c>
      <c r="AE171" s="797">
        <f ca="1">Calc!A108</f>
        <v>0.80848888888888892</v>
      </c>
      <c r="AG171" s="797">
        <f ca="1">Calc!B42</f>
        <v>7088</v>
      </c>
      <c r="AH171" s="797">
        <f ca="1">Calc!A42</f>
        <v>1.7824024615384615</v>
      </c>
      <c r="AQ171" s="824">
        <f t="shared" ca="1" si="38"/>
        <v>0.79675555555555566</v>
      </c>
      <c r="AR171" s="824">
        <f t="shared" ca="1" si="35"/>
        <v>4000</v>
      </c>
      <c r="AS171" s="824">
        <f t="shared" ca="1" si="36"/>
        <v>1.6212754285714288</v>
      </c>
      <c r="AT171" s="824">
        <f t="shared" ca="1" si="37"/>
        <v>7418.7</v>
      </c>
      <c r="AV171" s="873"/>
      <c r="AW171" s="873"/>
      <c r="AX171" s="873"/>
      <c r="AY171" s="873"/>
    </row>
    <row r="172" spans="1:51">
      <c r="A172" s="309"/>
      <c r="B172" s="67">
        <v>22</v>
      </c>
      <c r="C172" s="34" t="str">
        <f t="shared" ca="1" si="45"/>
        <v/>
      </c>
      <c r="D172" s="34" t="str">
        <f t="shared" ca="1" si="45"/>
        <v/>
      </c>
      <c r="E172" s="34" t="str">
        <f t="shared" ca="1" si="45"/>
        <v/>
      </c>
      <c r="F172" s="34" t="str">
        <f t="shared" ca="1" si="45"/>
        <v/>
      </c>
      <c r="G172" s="34" t="str">
        <f t="shared" ca="1" si="45"/>
        <v/>
      </c>
      <c r="H172" s="34" t="str">
        <f t="shared" ca="1" si="45"/>
        <v/>
      </c>
      <c r="I172" s="149"/>
      <c r="J172" s="67">
        <v>2</v>
      </c>
      <c r="K172" s="143" t="str">
        <f ca="1">IF(J150=1,"240",IF(J150=2,"24",""))</f>
        <v>240</v>
      </c>
      <c r="L172" s="68"/>
      <c r="M172" s="34"/>
      <c r="N172" s="34"/>
      <c r="O172" s="34"/>
      <c r="P172" s="310"/>
      <c r="U172" s="723">
        <f ca="1">IF(AND($X$139=7,$AA$144=0,$AB$144=0),'PC40 Graphs'!$B28,IF(AND($X$139=6,$AA$143=0,$AB$143=0),'PC40 Graphs'!$D28,IF(AND($X$139=5,$AA$142=0,$AB$142=0),'PC40 Graphs'!$F28,IF(AND($X$139=4,$AA$141=0,$AB$141=0),'PC32 Graphs'!$B28,IF(AND($X$139=3,$AA$140=0,$AB$140=0),'PC32 Graphs'!$D28,IF(AND($X$139=2,$AA$139=0,$AB$139=0),'PC25 Graphs'!$B29,IF(AND($X$139=1,$AA$138=0,$AB$138=0),'PC25 Graphs'!$D29)))))))</f>
        <v>613.33333333333337</v>
      </c>
      <c r="V172" s="48">
        <f ca="1">IF(AND($X$139=7,$AA$144=0,$AB$144=0),'PC40 Graphs'!$C28,IF(AND($X$139=6,$AA$143=0,$AB$143=0),'PC40 Graphs'!$E28,IF(AND($X$139=5,$AA$142=0,$AB$142=0),'PC40 Graphs'!$G28,IF(AND($X$139=4,$AA$141=0,$AB$141=0),'PC32 Graphs'!$C28,IF(AND($X$139=3,$AA$140=0,$AB$140=0),'PC32 Graphs'!$E28,IF(AND($X$139=2,$AA$139=0,$AB$139=0),'PC25 Graphs'!$C29,IF(AND($X$139=1,$AA$138=0,$AB$138=0),'PC25 Graphs'!$E29)))))))</f>
        <v>162</v>
      </c>
      <c r="W172" s="782">
        <f ca="1">IF(AND($X$139=7,$AA$144=0,$AB$144=0),'PC40 Graphs'!$B86,IF(AND($X$139=6,$AA$143=0,$AB$143=0),'PC40 Graphs'!$D86,IF(AND($X$139=5,$AA$142=0,$AB$142=0),'PC40 Graphs'!$F86,IF(AND($X$139=4,$AA$141=0,$AB$141=0),'PC32 Graphs'!$B85,IF(AND($X$139=3,$AA$140=0,$AB$140=0),'PC32 Graphs'!$D85,IF(AND($X$139=2,$AA$139=0,$AB$139=0),'PC25 Graphs'!$B86,IF(AND($X$139=1,$AA$138=0,$AB$138=0),'PC25 Graphs'!$D86)))))))</f>
        <v>1000</v>
      </c>
      <c r="X172" s="783">
        <f ca="1">IF(AND($X$139=7,$AA$144=0,$AB$144=0),'PC40 Graphs'!L86,IF(AND($X$139=6,$AA$143=0,$AB$143=0),'PC40 Graphs'!N86,IF(AND($X$139=5,$AA$142=0,$AB$142=0),'PC40 Graphs'!P86,IF(AND($X$139=4,$AA$141=0,$AB$141=0),'PC32 Graphs'!L85,IF(AND($X$139=3,$AA$140=0,$AB$140=0),'PC32 Graphs'!N85,IF(AND($X$139=2,$AA$139=0,$AB$139=0),'PC25 Graphs'!L86,IF(AND($X$139=1,$AA$138=0,$AB$138=0),'PC25 Graphs'!N86)))))))</f>
        <v>474</v>
      </c>
      <c r="Y172" s="787">
        <f t="shared" ca="1" si="39"/>
        <v>613.33333333333337</v>
      </c>
      <c r="Z172" s="780">
        <f t="shared" ca="1" si="40"/>
        <v>1158</v>
      </c>
      <c r="AA172" s="778">
        <f t="shared" ca="1" si="41"/>
        <v>162</v>
      </c>
      <c r="AB172" s="776"/>
      <c r="AD172" s="797">
        <f ca="1">Calc!B109</f>
        <v>3680</v>
      </c>
      <c r="AE172" s="797">
        <f ca="1">Calc!A109</f>
        <v>0.80457777777777784</v>
      </c>
      <c r="AG172" s="797">
        <f ca="1">Calc!B43</f>
        <v>7197.1</v>
      </c>
      <c r="AH172" s="797">
        <f ca="1">Calc!A43</f>
        <v>1.7292898461538462</v>
      </c>
      <c r="AQ172" s="824">
        <f t="shared" ca="1" si="38"/>
        <v>0.79284444444444457</v>
      </c>
      <c r="AR172" s="824">
        <f t="shared" ca="1" si="35"/>
        <v>4160</v>
      </c>
      <c r="AS172" s="824">
        <f t="shared" ca="1" si="36"/>
        <v>1.5663736263736265</v>
      </c>
      <c r="AT172" s="824">
        <f t="shared" ca="1" si="37"/>
        <v>7530.8</v>
      </c>
      <c r="AV172" s="873"/>
      <c r="AW172" s="873"/>
      <c r="AX172" s="873"/>
      <c r="AY172" s="873"/>
    </row>
    <row r="173" spans="1:51">
      <c r="A173" s="309"/>
      <c r="B173" s="67">
        <v>23</v>
      </c>
      <c r="C173" s="34" t="str">
        <f t="shared" ca="1" si="45"/>
        <v/>
      </c>
      <c r="D173" s="34" t="str">
        <f t="shared" ca="1" si="45"/>
        <v/>
      </c>
      <c r="E173" s="34" t="str">
        <f t="shared" ca="1" si="45"/>
        <v/>
      </c>
      <c r="F173" s="34" t="str">
        <f t="shared" ca="1" si="45"/>
        <v/>
      </c>
      <c r="G173" s="34" t="str">
        <f t="shared" ca="1" si="45"/>
        <v/>
      </c>
      <c r="H173" s="34" t="str">
        <f t="shared" ca="1" si="45"/>
        <v/>
      </c>
      <c r="I173" s="116"/>
      <c r="J173" s="72">
        <v>3</v>
      </c>
      <c r="K173" s="146" t="str">
        <f ca="1">IF(J150=1,"400",IF(J150=2,48,""))</f>
        <v>400</v>
      </c>
      <c r="L173" s="90"/>
      <c r="M173" s="34"/>
      <c r="N173" s="34"/>
      <c r="O173" s="34"/>
      <c r="P173" s="310"/>
      <c r="U173" s="723">
        <f ca="1">IF(AND($X$139=7,$AA$144=0,$AB$144=0),'PC40 Graphs'!$B29,IF(AND($X$139=6,$AA$143=0,$AB$143=0),'PC40 Graphs'!$D29,IF(AND($X$139=5,$AA$142=0,$AB$142=0),'PC40 Graphs'!$F29,IF(AND($X$139=4,$AA$141=0,$AB$141=0),'PC32 Graphs'!$B29,IF(AND($X$139=3,$AA$140=0,$AB$140=0),'PC32 Graphs'!$D29,IF(AND($X$139=2,$AA$139=0,$AB$139=0),'PC25 Graphs'!$B30,IF(AND($X$139=1,$AA$138=0,$AB$138=0),'PC25 Graphs'!$D30)))))))</f>
        <v>640</v>
      </c>
      <c r="V173" s="48">
        <f ca="1">IF(AND($X$139=7,$AA$144=0,$AB$144=0),'PC40 Graphs'!$C29,IF(AND($X$139=6,$AA$143=0,$AB$143=0),'PC40 Graphs'!$E29,IF(AND($X$139=5,$AA$142=0,$AB$142=0),'PC40 Graphs'!$G29,IF(AND($X$139=4,$AA$141=0,$AB$141=0),'PC32 Graphs'!$C29,IF(AND($X$139=3,$AA$140=0,$AB$140=0),'PC32 Graphs'!$E29,IF(AND($X$139=2,$AA$139=0,$AB$139=0),'PC25 Graphs'!$C30,IF(AND($X$139=1,$AA$138=0,$AB$138=0),'PC25 Graphs'!$E30)))))))</f>
        <v>155</v>
      </c>
      <c r="W173" s="782">
        <f ca="1">IF(AND($X$139=7,$AA$144=0,$AB$144=0),'PC40 Graphs'!$B87,IF(AND($X$139=6,$AA$143=0,$AB$143=0),'PC40 Graphs'!$D87,IF(AND($X$139=5,$AA$142=0,$AB$142=0),'PC40 Graphs'!$F87,IF(AND($X$139=4,$AA$141=0,$AB$141=0),'PC32 Graphs'!$B86,IF(AND($X$139=3,$AA$140=0,$AB$140=0),'PC32 Graphs'!$D86,IF(AND($X$139=2,$AA$139=0,$AB$139=0),'PC25 Graphs'!$B87,IF(AND($X$139=1,$AA$138=0,$AB$138=0),'PC25 Graphs'!$D87)))))))</f>
        <v>1000</v>
      </c>
      <c r="X173" s="783">
        <f ca="1">IF(AND($X$139=7,$AA$144=0,$AB$144=0),'PC40 Graphs'!L87,IF(AND($X$139=6,$AA$143=0,$AB$143=0),'PC40 Graphs'!N87,IF(AND($X$139=5,$AA$142=0,$AB$142=0),'PC40 Graphs'!P87,IF(AND($X$139=4,$AA$141=0,$AB$141=0),'PC32 Graphs'!L86,IF(AND($X$139=3,$AA$140=0,$AB$140=0),'PC32 Graphs'!N86,IF(AND($X$139=2,$AA$139=0,$AB$139=0),'PC25 Graphs'!L87,IF(AND($X$139=1,$AA$138=0,$AB$138=0),'PC25 Graphs'!N87)))))))</f>
        <v>447</v>
      </c>
      <c r="Y173" s="787">
        <f t="shared" ca="1" si="39"/>
        <v>640</v>
      </c>
      <c r="Z173" s="780">
        <f t="shared" ca="1" si="40"/>
        <v>1158</v>
      </c>
      <c r="AA173" s="778">
        <f t="shared" ca="1" si="41"/>
        <v>155</v>
      </c>
      <c r="AB173" s="776"/>
      <c r="AD173" s="797">
        <f ca="1">Calc!B110</f>
        <v>3840</v>
      </c>
      <c r="AE173" s="797">
        <f ca="1">Calc!A110</f>
        <v>0.80066666666666675</v>
      </c>
      <c r="AG173" s="797">
        <f ca="1">Calc!B44</f>
        <v>7307.4</v>
      </c>
      <c r="AH173" s="797">
        <f ca="1">Calc!A44</f>
        <v>1.6755808351648354</v>
      </c>
      <c r="AQ173" s="824">
        <f t="shared" ca="1" si="38"/>
        <v>0.78893333333333349</v>
      </c>
      <c r="AR173" s="824">
        <f t="shared" ca="1" si="35"/>
        <v>4320</v>
      </c>
      <c r="AS173" s="824">
        <f t="shared" ca="1" si="36"/>
        <v>1.5108754285714285</v>
      </c>
      <c r="AT173" s="824">
        <f t="shared" ca="1" si="37"/>
        <v>7643.7</v>
      </c>
      <c r="AV173" s="873"/>
      <c r="AW173" s="873"/>
      <c r="AX173" s="873"/>
      <c r="AY173" s="873"/>
    </row>
    <row r="174" spans="1:51" ht="15.75" thickBot="1">
      <c r="A174" s="312"/>
      <c r="B174" s="345">
        <v>24</v>
      </c>
      <c r="C174" s="346" t="str">
        <f t="shared" ca="1" si="45"/>
        <v/>
      </c>
      <c r="D174" s="346" t="str">
        <f t="shared" ca="1" si="45"/>
        <v/>
      </c>
      <c r="E174" s="346" t="str">
        <f t="shared" ca="1" si="45"/>
        <v/>
      </c>
      <c r="F174" s="346" t="str">
        <f t="shared" ca="1" si="45"/>
        <v/>
      </c>
      <c r="G174" s="346" t="str">
        <f t="shared" ca="1" si="45"/>
        <v/>
      </c>
      <c r="H174" s="346" t="str">
        <f t="shared" ca="1" si="45"/>
        <v/>
      </c>
      <c r="I174" s="346"/>
      <c r="J174" s="313"/>
      <c r="K174" s="313"/>
      <c r="L174" s="313"/>
      <c r="M174" s="313"/>
      <c r="N174" s="313"/>
      <c r="O174" s="313"/>
      <c r="P174" s="314"/>
      <c r="U174" s="723">
        <f ca="1">IF(AND($X$139=7,$AA$144=0,$AB$144=0),'PC40 Graphs'!$B30,IF(AND($X$139=6,$AA$143=0,$AB$143=0),'PC40 Graphs'!$D30,IF(AND($X$139=5,$AA$142=0,$AB$142=0),'PC40 Graphs'!$F30,IF(AND($X$139=4,$AA$141=0,$AB$141=0),'PC32 Graphs'!$B30,IF(AND($X$139=3,$AA$140=0,$AB$140=0),'PC32 Graphs'!$D30,IF(AND($X$139=2,$AA$139=0,$AB$139=0),'PC25 Graphs'!$B31,IF(AND($X$139=1,$AA$138=0,$AB$138=0),'PC25 Graphs'!$D31)))))))</f>
        <v>666.66666666666674</v>
      </c>
      <c r="V174" s="48">
        <f ca="1">IF(AND($X$139=7,$AA$144=0,$AB$144=0),'PC40 Graphs'!$C30,IF(AND($X$139=6,$AA$143=0,$AB$143=0),'PC40 Graphs'!$E30,IF(AND($X$139=5,$AA$142=0,$AB$142=0),'PC40 Graphs'!$G30,IF(AND($X$139=4,$AA$141=0,$AB$141=0),'PC32 Graphs'!$C30,IF(AND($X$139=3,$AA$140=0,$AB$140=0),'PC32 Graphs'!$E30,IF(AND($X$139=2,$AA$139=0,$AB$139=0),'PC25 Graphs'!$C31,IF(AND($X$139=1,$AA$138=0,$AB$138=0),'PC25 Graphs'!$E31)))))))</f>
        <v>149</v>
      </c>
      <c r="W174" s="782">
        <f ca="1">IF(AND($X$139=7,$AA$144=0,$AB$144=0),'PC40 Graphs'!$B88,IF(AND($X$139=6,$AA$143=0,$AB$143=0),'PC40 Graphs'!$D88,IF(AND($X$139=5,$AA$142=0,$AB$142=0),'PC40 Graphs'!$F88,IF(AND($X$139=4,$AA$141=0,$AB$141=0),'PC32 Graphs'!$B87,IF(AND($X$139=3,$AA$140=0,$AB$140=0),'PC32 Graphs'!$D87,IF(AND($X$139=2,$AA$139=0,$AB$139=0),'PC25 Graphs'!$B88,IF(AND($X$139=1,$AA$138=0,$AB$138=0),'PC25 Graphs'!$D88)))))))</f>
        <v>1000</v>
      </c>
      <c r="X174" s="783">
        <f ca="1">IF(AND($X$139=7,$AA$144=0,$AB$144=0),'PC40 Graphs'!L88,IF(AND($X$139=6,$AA$143=0,$AB$143=0),'PC40 Graphs'!N88,IF(AND($X$139=5,$AA$142=0,$AB$142=0),'PC40 Graphs'!P88,IF(AND($X$139=4,$AA$141=0,$AB$141=0),'PC32 Graphs'!L87,IF(AND($X$139=3,$AA$140=0,$AB$140=0),'PC32 Graphs'!N87,IF(AND($X$139=2,$AA$139=0,$AB$139=0),'PC25 Graphs'!L88,IF(AND($X$139=1,$AA$138=0,$AB$138=0),'PC25 Graphs'!N88)))))))</f>
        <v>419</v>
      </c>
      <c r="Y174" s="787">
        <f t="shared" ca="1" si="39"/>
        <v>666.66666666666674</v>
      </c>
      <c r="Z174" s="780">
        <f t="shared" ca="1" si="40"/>
        <v>1158</v>
      </c>
      <c r="AA174" s="778">
        <f t="shared" ca="1" si="41"/>
        <v>149</v>
      </c>
      <c r="AB174" s="776"/>
      <c r="AD174" s="797">
        <f ca="1">Calc!B111</f>
        <v>4000</v>
      </c>
      <c r="AE174" s="797">
        <f ca="1">Calc!A111</f>
        <v>0.79675555555555566</v>
      </c>
      <c r="AG174" s="797">
        <f ca="1">Calc!B45</f>
        <v>7418.7</v>
      </c>
      <c r="AH174" s="797">
        <f ca="1">Calc!A45</f>
        <v>1.6212754285714288</v>
      </c>
      <c r="AQ174" s="824">
        <f t="shared" ca="1" si="38"/>
        <v>0.7850222222222224</v>
      </c>
      <c r="AR174" s="824">
        <f t="shared" ca="1" si="35"/>
        <v>4480</v>
      </c>
      <c r="AS174" s="824">
        <f t="shared" ca="1" si="36"/>
        <v>1.4547808351648353</v>
      </c>
      <c r="AT174" s="824">
        <f t="shared" ca="1" si="37"/>
        <v>7757.2</v>
      </c>
      <c r="AV174" s="873"/>
      <c r="AW174" s="873"/>
      <c r="AX174" s="873"/>
      <c r="AY174" s="873"/>
    </row>
    <row r="175" spans="1:51">
      <c r="U175" s="723">
        <f ca="1">IF(AND($X$139=7,$AA$144=0,$AB$144=0),'PC40 Graphs'!$B31,IF(AND($X$139=6,$AA$143=0,$AB$143=0),'PC40 Graphs'!$D31,IF(AND($X$139=5,$AA$142=0,$AB$142=0),'PC40 Graphs'!$F31,IF(AND($X$139=4,$AA$141=0,$AB$141=0),'PC32 Graphs'!$B31,IF(AND($X$139=3,$AA$140=0,$AB$140=0),'PC32 Graphs'!$D31,IF(AND($X$139=2,$AA$139=0,$AB$139=0),'PC25 Graphs'!$B32,IF(AND($X$139=1,$AA$138=0,$AB$138=0),'PC25 Graphs'!$D32)))))))</f>
        <v>693.33333333333326</v>
      </c>
      <c r="V175" s="48">
        <f ca="1">IF(AND($X$139=7,$AA$144=0,$AB$144=0),'PC40 Graphs'!$C31,IF(AND($X$139=6,$AA$143=0,$AB$143=0),'PC40 Graphs'!$E31,IF(AND($X$139=5,$AA$142=0,$AB$142=0),'PC40 Graphs'!$G31,IF(AND($X$139=4,$AA$141=0,$AB$141=0),'PC32 Graphs'!$C31,IF(AND($X$139=3,$AA$140=0,$AB$140=0),'PC32 Graphs'!$E31,IF(AND($X$139=2,$AA$139=0,$AB$139=0),'PC25 Graphs'!$C32,IF(AND($X$139=1,$AA$138=0,$AB$138=0),'PC25 Graphs'!$E32)))))))</f>
        <v>142</v>
      </c>
      <c r="W175" s="782">
        <f ca="1">IF(AND($X$139=7,$AA$144=0,$AB$144=0),'PC40 Graphs'!$B89,IF(AND($X$139=6,$AA$143=0,$AB$143=0),'PC40 Graphs'!$D89,IF(AND($X$139=5,$AA$142=0,$AB$142=0),'PC40 Graphs'!$F89,IF(AND($X$139=4,$AA$141=0,$AB$141=0),'PC32 Graphs'!$B88,IF(AND($X$139=3,$AA$140=0,$AB$140=0),'PC32 Graphs'!$D88,IF(AND($X$139=2,$AA$139=0,$AB$139=0),'PC25 Graphs'!$B89,IF(AND($X$139=1,$AA$138=0,$AB$138=0),'PC25 Graphs'!$D89)))))))</f>
        <v>1000</v>
      </c>
      <c r="X175" s="783">
        <f ca="1">IF(AND($X$139=7,$AA$144=0,$AB$144=0),'PC40 Graphs'!L89,IF(AND($X$139=6,$AA$143=0,$AB$143=0),'PC40 Graphs'!N89,IF(AND($X$139=5,$AA$142=0,$AB$142=0),'PC40 Graphs'!P89,IF(AND($X$139=4,$AA$141=0,$AB$141=0),'PC32 Graphs'!L88,IF(AND($X$139=3,$AA$140=0,$AB$140=0),'PC32 Graphs'!N88,IF(AND($X$139=2,$AA$139=0,$AB$139=0),'PC25 Graphs'!L89,IF(AND($X$139=1,$AA$138=0,$AB$138=0),'PC25 Graphs'!N89)))))))</f>
        <v>391</v>
      </c>
      <c r="Y175" s="787">
        <f t="shared" ca="1" si="39"/>
        <v>693.33333333333326</v>
      </c>
      <c r="Z175" s="780">
        <f t="shared" ca="1" si="40"/>
        <v>1158</v>
      </c>
      <c r="AA175" s="778">
        <f t="shared" ca="1" si="41"/>
        <v>142</v>
      </c>
      <c r="AB175" s="776"/>
      <c r="AD175" s="797">
        <f ca="1">Calc!B112</f>
        <v>4160</v>
      </c>
      <c r="AE175" s="797">
        <f ca="1">Calc!A112</f>
        <v>0.79284444444444457</v>
      </c>
      <c r="AG175" s="797">
        <f ca="1">Calc!B46</f>
        <v>7530.8</v>
      </c>
      <c r="AH175" s="797">
        <f ca="1">Calc!A46</f>
        <v>1.5663736263736265</v>
      </c>
      <c r="AQ175" s="824">
        <f t="shared" ca="1" si="38"/>
        <v>0.78111111111111131</v>
      </c>
      <c r="AR175" s="824">
        <f t="shared" ca="1" si="35"/>
        <v>4640</v>
      </c>
      <c r="AS175" s="824">
        <f t="shared" ca="1" si="36"/>
        <v>1.398089846153846</v>
      </c>
      <c r="AT175" s="824">
        <f t="shared" ca="1" si="37"/>
        <v>7871.1</v>
      </c>
      <c r="AV175" s="873"/>
      <c r="AW175" s="873"/>
      <c r="AX175" s="873"/>
      <c r="AY175" s="873"/>
    </row>
    <row r="176" spans="1:51">
      <c r="U176" s="723">
        <f ca="1">IF(AND($X$139=7,$AA$144=0,$AB$144=0),'PC40 Graphs'!$B32,IF(AND($X$139=6,$AA$143=0,$AB$143=0),'PC40 Graphs'!$D32,IF(AND($X$139=5,$AA$142=0,$AB$142=0),'PC40 Graphs'!$F32,IF(AND($X$139=4,$AA$141=0,$AB$141=0),'PC32 Graphs'!$B32,IF(AND($X$139=3,$AA$140=0,$AB$140=0),'PC32 Graphs'!$D32,IF(AND($X$139=2,$AA$139=0,$AB$139=0),'PC25 Graphs'!$B33,IF(AND($X$139=1,$AA$138=0,$AB$138=0),'PC25 Graphs'!$D33)))))))</f>
        <v>720</v>
      </c>
      <c r="V176" s="48">
        <f ca="1">IF(AND($X$139=7,$AA$144=0,$AB$144=0),'PC40 Graphs'!$C32,IF(AND($X$139=6,$AA$143=0,$AB$143=0),'PC40 Graphs'!$E32,IF(AND($X$139=5,$AA$142=0,$AB$142=0),'PC40 Graphs'!$G32,IF(AND($X$139=4,$AA$141=0,$AB$141=0),'PC32 Graphs'!$C32,IF(AND($X$139=3,$AA$140=0,$AB$140=0),'PC32 Graphs'!$E32,IF(AND($X$139=2,$AA$139=0,$AB$139=0),'PC25 Graphs'!$C33,IF(AND($X$139=1,$AA$138=0,$AB$138=0),'PC25 Graphs'!$E33)))))))</f>
        <v>136</v>
      </c>
      <c r="W176" s="782">
        <f ca="1">IF(AND($X$139=7,$AA$144=0,$AB$144=0),'PC40 Graphs'!$B90,IF(AND($X$139=6,$AA$143=0,$AB$143=0),'PC40 Graphs'!$D90,IF(AND($X$139=5,$AA$142=0,$AB$142=0),'PC40 Graphs'!$F90,IF(AND($X$139=4,$AA$141=0,$AB$141=0),'PC32 Graphs'!$B89,IF(AND($X$139=3,$AA$140=0,$AB$140=0),'PC32 Graphs'!$D89,IF(AND($X$139=2,$AA$139=0,$AB$139=0),'PC25 Graphs'!$B90,IF(AND($X$139=1,$AA$138=0,$AB$138=0),'PC25 Graphs'!$D90)))))))</f>
        <v>1000</v>
      </c>
      <c r="X176" s="783">
        <f ca="1">IF(AND($X$139=7,$AA$144=0,$AB$144=0),'PC40 Graphs'!L90,IF(AND($X$139=6,$AA$143=0,$AB$143=0),'PC40 Graphs'!N90,IF(AND($X$139=5,$AA$142=0,$AB$142=0),'PC40 Graphs'!P90,IF(AND($X$139=4,$AA$141=0,$AB$141=0),'PC32 Graphs'!L89,IF(AND($X$139=3,$AA$140=0,$AB$140=0),'PC32 Graphs'!N89,IF(AND($X$139=2,$AA$139=0,$AB$139=0),'PC25 Graphs'!L90,IF(AND($X$139=1,$AA$138=0,$AB$138=0),'PC25 Graphs'!N90)))))))</f>
        <v>362</v>
      </c>
      <c r="Y176" s="787">
        <f t="shared" ca="1" si="39"/>
        <v>720</v>
      </c>
      <c r="Z176" s="780">
        <f t="shared" ca="1" si="40"/>
        <v>1158</v>
      </c>
      <c r="AA176" s="778">
        <f t="shared" ca="1" si="41"/>
        <v>136</v>
      </c>
      <c r="AB176" s="776"/>
      <c r="AD176" s="797">
        <f ca="1">Calc!B113</f>
        <v>4320</v>
      </c>
      <c r="AE176" s="797">
        <f ca="1">Calc!A113</f>
        <v>0.78893333333333349</v>
      </c>
      <c r="AG176" s="797">
        <f ca="1">Calc!B47</f>
        <v>7643.7</v>
      </c>
      <c r="AH176" s="797">
        <f ca="1">Calc!A47</f>
        <v>1.5108754285714285</v>
      </c>
      <c r="AQ176" s="824">
        <f t="shared" ca="1" si="38"/>
        <v>0.77720000000000022</v>
      </c>
      <c r="AR176" s="824">
        <f t="shared" ca="1" si="35"/>
        <v>4800</v>
      </c>
      <c r="AS176" s="824">
        <f t="shared" ca="1" si="36"/>
        <v>1.3408024615384615</v>
      </c>
      <c r="AT176" s="824">
        <f t="shared" ca="1" si="37"/>
        <v>7985.2</v>
      </c>
      <c r="AV176" s="873"/>
      <c r="AW176" s="873"/>
      <c r="AX176" s="873"/>
      <c r="AY176" s="873"/>
    </row>
    <row r="177" spans="21:51">
      <c r="U177" s="723">
        <f ca="1">IF(AND($X$139=7,$AA$144=0,$AB$144=0),'PC40 Graphs'!$B33,IF(AND($X$139=6,$AA$143=0,$AB$143=0),'PC40 Graphs'!$D33,IF(AND($X$139=5,$AA$142=0,$AB$142=0),'PC40 Graphs'!$F33,IF(AND($X$139=4,$AA$141=0,$AB$141=0),'PC32 Graphs'!$B33,IF(AND($X$139=3,$AA$140=0,$AB$140=0),'PC32 Graphs'!$D33,IF(AND($X$139=2,$AA$139=0,$AB$139=0),'PC25 Graphs'!$B34,IF(AND($X$139=1,$AA$138=0,$AB$138=0),'PC25 Graphs'!$D34)))))))</f>
        <v>746.66666666666674</v>
      </c>
      <c r="V177" s="48">
        <f ca="1">IF(AND($X$139=7,$AA$144=0,$AB$144=0),'PC40 Graphs'!$C33,IF(AND($X$139=6,$AA$143=0,$AB$143=0),'PC40 Graphs'!$E33,IF(AND($X$139=5,$AA$142=0,$AB$142=0),'PC40 Graphs'!$G33,IF(AND($X$139=4,$AA$141=0,$AB$141=0),'PC32 Graphs'!$C33,IF(AND($X$139=3,$AA$140=0,$AB$140=0),'PC32 Graphs'!$E33,IF(AND($X$139=2,$AA$139=0,$AB$139=0),'PC25 Graphs'!$C34,IF(AND($X$139=1,$AA$138=0,$AB$138=0),'PC25 Graphs'!$E34)))))))</f>
        <v>129</v>
      </c>
      <c r="W177" s="782">
        <f ca="1">IF(AND($X$139=7,$AA$144=0,$AB$144=0),'PC40 Graphs'!$B91,IF(AND($X$139=6,$AA$143=0,$AB$143=0),'PC40 Graphs'!$D91,IF(AND($X$139=5,$AA$142=0,$AB$142=0),'PC40 Graphs'!$F91,IF(AND($X$139=4,$AA$141=0,$AB$141=0),'PC32 Graphs'!$B90,IF(AND($X$139=3,$AA$140=0,$AB$140=0),'PC32 Graphs'!$D90,IF(AND($X$139=2,$AA$139=0,$AB$139=0),'PC25 Graphs'!$B91,IF(AND($X$139=1,$AA$138=0,$AB$138=0),'PC25 Graphs'!$D91)))))))</f>
        <v>1000</v>
      </c>
      <c r="X177" s="783">
        <f ca="1">IF(AND($X$139=7,$AA$144=0,$AB$144=0),'PC40 Graphs'!L91,IF(AND($X$139=6,$AA$143=0,$AB$143=0),'PC40 Graphs'!N91,IF(AND($X$139=5,$AA$142=0,$AB$142=0),'PC40 Graphs'!P91,IF(AND($X$139=4,$AA$141=0,$AB$141=0),'PC32 Graphs'!L90,IF(AND($X$139=3,$AA$140=0,$AB$140=0),'PC32 Graphs'!N90,IF(AND($X$139=2,$AA$139=0,$AB$139=0),'PC25 Graphs'!L91,IF(AND($X$139=1,$AA$138=0,$AB$138=0),'PC25 Graphs'!N91)))))))</f>
        <v>333</v>
      </c>
      <c r="Y177" s="787">
        <f t="shared" ca="1" si="39"/>
        <v>746.66666666666674</v>
      </c>
      <c r="Z177" s="780">
        <f t="shared" ca="1" si="40"/>
        <v>1158</v>
      </c>
      <c r="AA177" s="778">
        <f t="shared" ca="1" si="41"/>
        <v>129</v>
      </c>
      <c r="AB177" s="776"/>
      <c r="AD177" s="797">
        <f ca="1">Calc!B114</f>
        <v>4480</v>
      </c>
      <c r="AE177" s="797">
        <f ca="1">Calc!A114</f>
        <v>0.7850222222222224</v>
      </c>
      <c r="AG177" s="797">
        <f ca="1">Calc!B48</f>
        <v>7757.2</v>
      </c>
      <c r="AH177" s="797">
        <f ca="1">Calc!A48</f>
        <v>1.4547808351648353</v>
      </c>
      <c r="AQ177" s="824">
        <f t="shared" ca="1" si="38"/>
        <v>0.77328888888888914</v>
      </c>
      <c r="AR177" s="824">
        <f t="shared" ca="1" si="35"/>
        <v>4960</v>
      </c>
      <c r="AS177" s="824">
        <f t="shared" ca="1" si="36"/>
        <v>1.2829186813186786</v>
      </c>
      <c r="AT177" s="824">
        <f t="shared" ca="1" si="37"/>
        <v>8000</v>
      </c>
      <c r="AV177" s="873"/>
      <c r="AW177" s="873"/>
      <c r="AX177" s="873"/>
      <c r="AY177" s="873"/>
    </row>
    <row r="178" spans="21:51">
      <c r="U178" s="723">
        <f ca="1">IF(AND($X$139=7,$AA$144=0,$AB$144=0),'PC40 Graphs'!$B34,IF(AND($X$139=6,$AA$143=0,$AB$143=0),'PC40 Graphs'!$D34,IF(AND($X$139=5,$AA$142=0,$AB$142=0),'PC40 Graphs'!$F34,IF(AND($X$139=4,$AA$141=0,$AB$141=0),'PC32 Graphs'!$B34,IF(AND($X$139=3,$AA$140=0,$AB$140=0),'PC32 Graphs'!$D34,IF(AND($X$139=2,$AA$139=0,$AB$139=0),'PC25 Graphs'!$B35,IF(AND($X$139=1,$AA$138=0,$AB$138=0),'PC25 Graphs'!$D35)))))))</f>
        <v>773.33333333333326</v>
      </c>
      <c r="V178" s="48">
        <f ca="1">IF(AND($X$139=7,$AA$144=0,$AB$144=0),'PC40 Graphs'!$C34,IF(AND($X$139=6,$AA$143=0,$AB$143=0),'PC40 Graphs'!$E34,IF(AND($X$139=5,$AA$142=0,$AB$142=0),'PC40 Graphs'!$G34,IF(AND($X$139=4,$AA$141=0,$AB$141=0),'PC32 Graphs'!$C34,IF(AND($X$139=3,$AA$140=0,$AB$140=0),'PC32 Graphs'!$E34,IF(AND($X$139=2,$AA$139=0,$AB$139=0),'PC25 Graphs'!$C35,IF(AND($X$139=1,$AA$138=0,$AB$138=0),'PC25 Graphs'!$E35)))))))</f>
        <v>122</v>
      </c>
      <c r="W178" s="782">
        <f ca="1">IF(AND($X$139=7,$AA$144=0,$AB$144=0),'PC40 Graphs'!$B92,IF(AND($X$139=6,$AA$143=0,$AB$143=0),'PC40 Graphs'!$D92,IF(AND($X$139=5,$AA$142=0,$AB$142=0),'PC40 Graphs'!$F92,IF(AND($X$139=4,$AA$141=0,$AB$141=0),'PC32 Graphs'!$B91,IF(AND($X$139=3,$AA$140=0,$AB$140=0),'PC32 Graphs'!$D91,IF(AND($X$139=2,$AA$139=0,$AB$139=0),'PC25 Graphs'!$B92,IF(AND($X$139=1,$AA$138=0,$AB$138=0),'PC25 Graphs'!$D92)))))))</f>
        <v>1000</v>
      </c>
      <c r="X178" s="783">
        <f ca="1">IF(AND($X$139=7,$AA$144=0,$AB$144=0),'PC40 Graphs'!L92,IF(AND($X$139=6,$AA$143=0,$AB$143=0),'PC40 Graphs'!N92,IF(AND($X$139=5,$AA$142=0,$AB$142=0),'PC40 Graphs'!P92,IF(AND($X$139=4,$AA$141=0,$AB$141=0),'PC32 Graphs'!L91,IF(AND($X$139=3,$AA$140=0,$AB$140=0),'PC32 Graphs'!N91,IF(AND($X$139=2,$AA$139=0,$AB$139=0),'PC25 Graphs'!L92,IF(AND($X$139=1,$AA$138=0,$AB$138=0),'PC25 Graphs'!N92)))))))</f>
        <v>304</v>
      </c>
      <c r="Y178" s="787">
        <f t="shared" ca="1" si="39"/>
        <v>773.33333333333326</v>
      </c>
      <c r="Z178" s="780">
        <f t="shared" ca="1" si="40"/>
        <v>1158</v>
      </c>
      <c r="AA178" s="778">
        <f t="shared" ca="1" si="41"/>
        <v>122</v>
      </c>
      <c r="AB178" s="776"/>
      <c r="AD178" s="797">
        <f ca="1">Calc!B115</f>
        <v>4640</v>
      </c>
      <c r="AE178" s="797">
        <f ca="1">Calc!A115</f>
        <v>0.78111111111111131</v>
      </c>
      <c r="AG178" s="797">
        <f ca="1">Calc!B49</f>
        <v>7871.1</v>
      </c>
      <c r="AH178" s="797">
        <f ca="1">Calc!A49</f>
        <v>1.398089846153846</v>
      </c>
      <c r="AQ178" s="824">
        <f t="shared" ca="1" si="38"/>
        <v>0.76937777777777805</v>
      </c>
      <c r="AR178" s="824">
        <f t="shared" ca="1" si="35"/>
        <v>5120</v>
      </c>
      <c r="AS178" s="824">
        <f t="shared" ca="1" si="36"/>
        <v>1.2244385054945026</v>
      </c>
      <c r="AT178" s="824">
        <f t="shared" ca="1" si="37"/>
        <v>8000</v>
      </c>
      <c r="AV178" s="873"/>
      <c r="AW178" s="873"/>
      <c r="AX178" s="873"/>
      <c r="AY178" s="873"/>
    </row>
    <row r="179" spans="21:51">
      <c r="U179" s="723">
        <f ca="1">IF(AND($X$139=7,$AA$144=0,$AB$144=0),'PC40 Graphs'!$B35,IF(AND($X$139=6,$AA$143=0,$AB$143=0),'PC40 Graphs'!$D35,IF(AND($X$139=5,$AA$142=0,$AB$142=0),'PC40 Graphs'!$F35,IF(AND($X$139=4,$AA$141=0,$AB$141=0),'PC32 Graphs'!$B35,IF(AND($X$139=3,$AA$140=0,$AB$140=0),'PC32 Graphs'!$D35,IF(AND($X$139=2,$AA$139=0,$AB$139=0),'PC25 Graphs'!$B36,IF(AND($X$139=1,$AA$138=0,$AB$138=0),'PC25 Graphs'!$D36)))))))</f>
        <v>800</v>
      </c>
      <c r="V179" s="48">
        <f ca="1">IF(AND($X$139=7,$AA$144=0,$AB$144=0),'PC40 Graphs'!$C35,IF(AND($X$139=6,$AA$143=0,$AB$143=0),'PC40 Graphs'!$E35,IF(AND($X$139=5,$AA$142=0,$AB$142=0),'PC40 Graphs'!$G35,IF(AND($X$139=4,$AA$141=0,$AB$141=0),'PC32 Graphs'!$C35,IF(AND($X$139=3,$AA$140=0,$AB$140=0),'PC32 Graphs'!$E35,IF(AND($X$139=2,$AA$139=0,$AB$139=0),'PC25 Graphs'!$C36,IF(AND($X$139=1,$AA$138=0,$AB$138=0),'PC25 Graphs'!$E36)))))))</f>
        <v>116</v>
      </c>
      <c r="W179" s="782">
        <f ca="1">IF(AND($X$139=7,$AA$144=0,$AB$144=0),'PC40 Graphs'!$B93,IF(AND($X$139=6,$AA$143=0,$AB$143=0),'PC40 Graphs'!$D93,IF(AND($X$139=5,$AA$142=0,$AB$142=0),'PC40 Graphs'!$F93,IF(AND($X$139=4,$AA$141=0,$AB$141=0),'PC32 Graphs'!$B92,IF(AND($X$139=3,$AA$140=0,$AB$140=0),'PC32 Graphs'!$D92,IF(AND($X$139=2,$AA$139=0,$AB$139=0),'PC25 Graphs'!$B93,IF(AND($X$139=1,$AA$138=0,$AB$138=0),'PC25 Graphs'!$D93)))))))</f>
        <v>1000</v>
      </c>
      <c r="X179" s="783">
        <f ca="1">IF(AND($X$139=7,$AA$144=0,$AB$144=0),'PC40 Graphs'!L93,IF(AND($X$139=6,$AA$143=0,$AB$143=0),'PC40 Graphs'!N93,IF(AND($X$139=5,$AA$142=0,$AB$142=0),'PC40 Graphs'!P93,IF(AND($X$139=4,$AA$141=0,$AB$141=0),'PC32 Graphs'!L92,IF(AND($X$139=3,$AA$140=0,$AB$140=0),'PC32 Graphs'!N92,IF(AND($X$139=2,$AA$139=0,$AB$139=0),'PC25 Graphs'!L93,IF(AND($X$139=1,$AA$138=0,$AB$138=0),'PC25 Graphs'!N93)))))))</f>
        <v>275</v>
      </c>
      <c r="Y179" s="787">
        <f t="shared" ca="1" si="39"/>
        <v>800</v>
      </c>
      <c r="Z179" s="780">
        <f t="shared" ca="1" si="40"/>
        <v>1158</v>
      </c>
      <c r="AA179" s="778">
        <f t="shared" ca="1" si="41"/>
        <v>116</v>
      </c>
      <c r="AB179" s="776"/>
      <c r="AD179" s="797">
        <f ca="1">Calc!B116</f>
        <v>4800</v>
      </c>
      <c r="AE179" s="797">
        <f ca="1">Calc!A116</f>
        <v>0.77720000000000022</v>
      </c>
      <c r="AG179" s="797">
        <f ca="1">Calc!B50</f>
        <v>7985.2</v>
      </c>
      <c r="AH179" s="797">
        <f ca="1">Calc!A50</f>
        <v>1.3408024615384615</v>
      </c>
      <c r="AQ179" s="824">
        <f t="shared" ca="1" si="38"/>
        <v>0.76546666666666696</v>
      </c>
      <c r="AR179" s="824">
        <f t="shared" ca="1" si="35"/>
        <v>5280</v>
      </c>
      <c r="AS179" s="824">
        <f t="shared" ca="1" si="36"/>
        <v>1.1653619340659311</v>
      </c>
      <c r="AT179" s="824">
        <f t="shared" ca="1" si="37"/>
        <v>8000</v>
      </c>
      <c r="AV179" s="873"/>
      <c r="AW179" s="873"/>
      <c r="AX179" s="873"/>
      <c r="AY179" s="873"/>
    </row>
    <row r="180" spans="21:51">
      <c r="U180" s="723">
        <f ca="1">IF(AND($X$139=7,$AA$144=0,$AB$144=0),'PC40 Graphs'!$B36,IF(AND($X$139=6,$AA$143=0,$AB$143=0),'PC40 Graphs'!$D36,IF(AND($X$139=5,$AA$142=0,$AB$142=0),'PC40 Graphs'!$F36,IF(AND($X$139=4,$AA$141=0,$AB$141=0),'PC32 Graphs'!$B36,IF(AND($X$139=3,$AA$140=0,$AB$140=0),'PC32 Graphs'!$D36,IF(AND($X$139=2,$AA$139=0,$AB$139=0),'PC25 Graphs'!$B37,IF(AND($X$139=1,$AA$138=0,$AB$138=0),'PC25 Graphs'!$D37)))))))</f>
        <v>826.66666666666674</v>
      </c>
      <c r="V180" s="48">
        <f ca="1">IF(AND($X$139=7,$AA$144=0,$AB$144=0),'PC40 Graphs'!$C36,IF(AND($X$139=6,$AA$143=0,$AB$143=0),'PC40 Graphs'!$E36,IF(AND($X$139=5,$AA$142=0,$AB$142=0),'PC40 Graphs'!$G36,IF(AND($X$139=4,$AA$141=0,$AB$141=0),'PC32 Graphs'!$C36,IF(AND($X$139=3,$AA$140=0,$AB$140=0),'PC32 Graphs'!$E36,IF(AND($X$139=2,$AA$139=0,$AB$139=0),'PC25 Graphs'!$C37,IF(AND($X$139=1,$AA$138=0,$AB$138=0),'PC25 Graphs'!$E37)))))))</f>
        <v>109</v>
      </c>
      <c r="W180" s="782">
        <f ca="1">IF(AND($X$139=7,$AA$144=0,$AB$144=0),'PC40 Graphs'!$B94,IF(AND($X$139=6,$AA$143=0,$AB$143=0),'PC40 Graphs'!$D94,IF(AND($X$139=5,$AA$142=0,$AB$142=0),'PC40 Graphs'!$F94,IF(AND($X$139=4,$AA$141=0,$AB$141=0),'PC32 Graphs'!$B93,IF(AND($X$139=3,$AA$140=0,$AB$140=0),'PC32 Graphs'!$D93,IF(AND($X$139=2,$AA$139=0,$AB$139=0),'PC25 Graphs'!$B94,IF(AND($X$139=1,$AA$138=0,$AB$138=0),'PC25 Graphs'!$D94)))))))</f>
        <v>1000</v>
      </c>
      <c r="X180" s="783">
        <f ca="1">IF(AND($X$139=7,$AA$144=0,$AB$144=0),'PC40 Graphs'!L94,IF(AND($X$139=6,$AA$143=0,$AB$143=0),'PC40 Graphs'!N94,IF(AND($X$139=5,$AA$142=0,$AB$142=0),'PC40 Graphs'!P94,IF(AND($X$139=4,$AA$141=0,$AB$141=0),'PC32 Graphs'!L93,IF(AND($X$139=3,$AA$140=0,$AB$140=0),'PC32 Graphs'!N93,IF(AND($X$139=2,$AA$139=0,$AB$139=0),'PC25 Graphs'!L94,IF(AND($X$139=1,$AA$138=0,$AB$138=0),'PC25 Graphs'!N94)))))))</f>
        <v>248</v>
      </c>
      <c r="Y180" s="787">
        <f t="shared" ca="1" si="39"/>
        <v>826.66666666666674</v>
      </c>
      <c r="Z180" s="780">
        <f t="shared" ca="1" si="40"/>
        <v>1158</v>
      </c>
      <c r="AA180" s="778">
        <f t="shared" ca="1" si="41"/>
        <v>109</v>
      </c>
      <c r="AB180" s="776"/>
      <c r="AD180" s="797">
        <f ca="1">Calc!B117</f>
        <v>4960</v>
      </c>
      <c r="AE180" s="797">
        <f ca="1">Calc!A117</f>
        <v>0.77328888888888914</v>
      </c>
      <c r="AG180" s="797">
        <f ca="1">Calc!B51</f>
        <v>8000</v>
      </c>
      <c r="AH180" s="797">
        <f ca="1">Calc!A51</f>
        <v>1.2829186813186786</v>
      </c>
      <c r="AQ180" s="824">
        <f t="shared" ca="1" si="38"/>
        <v>0.76155555555555587</v>
      </c>
      <c r="AR180" s="824">
        <f t="shared" ca="1" si="35"/>
        <v>5440</v>
      </c>
      <c r="AS180" s="824">
        <f t="shared" ca="1" si="36"/>
        <v>1.1056889670329642</v>
      </c>
      <c r="AT180" s="824">
        <f t="shared" ca="1" si="37"/>
        <v>8000</v>
      </c>
      <c r="AV180" s="873"/>
      <c r="AW180" s="873"/>
      <c r="AX180" s="873"/>
      <c r="AY180" s="873"/>
    </row>
    <row r="181" spans="21:51">
      <c r="U181" s="723">
        <f ca="1">IF(AND($X$139=7,$AA$144=0,$AB$144=0),'PC40 Graphs'!$B37,IF(AND($X$139=6,$AA$143=0,$AB$143=0),'PC40 Graphs'!$D37,IF(AND($X$139=5,$AA$142=0,$AB$142=0),'PC40 Graphs'!$F37,IF(AND($X$139=4,$AA$141=0,$AB$141=0),'PC32 Graphs'!$B37,IF(AND($X$139=3,$AA$140=0,$AB$140=0),'PC32 Graphs'!$D37,IF(AND($X$139=2,$AA$139=0,$AB$139=0),'PC25 Graphs'!$B38,IF(AND($X$139=1,$AA$138=0,$AB$138=0),'PC25 Graphs'!$D38)))))))</f>
        <v>853.33333333333326</v>
      </c>
      <c r="V181" s="48">
        <f ca="1">IF(AND($X$139=7,$AA$144=0,$AB$144=0),'PC40 Graphs'!$C37,IF(AND($X$139=6,$AA$143=0,$AB$143=0),'PC40 Graphs'!$E37,IF(AND($X$139=5,$AA$142=0,$AB$142=0),'PC40 Graphs'!$G37,IF(AND($X$139=4,$AA$141=0,$AB$141=0),'PC32 Graphs'!$C37,IF(AND($X$139=3,$AA$140=0,$AB$140=0),'PC32 Graphs'!$E37,IF(AND($X$139=2,$AA$139=0,$AB$139=0),'PC25 Graphs'!$C38,IF(AND($X$139=1,$AA$138=0,$AB$138=0),'PC25 Graphs'!$E38)))))))</f>
        <v>103</v>
      </c>
      <c r="W181" s="782">
        <f ca="1">IF(AND($X$139=7,$AA$144=0,$AB$144=0),'PC40 Graphs'!$B95,IF(AND($X$139=6,$AA$143=0,$AB$143=0),'PC40 Graphs'!$D95,IF(AND($X$139=5,$AA$142=0,$AB$142=0),'PC40 Graphs'!$F95,IF(AND($X$139=4,$AA$141=0,$AB$141=0),'PC32 Graphs'!$B94,IF(AND($X$139=3,$AA$140=0,$AB$140=0),'PC32 Graphs'!$D94,IF(AND($X$139=2,$AA$139=0,$AB$139=0),'PC25 Graphs'!$B95,IF(AND($X$139=1,$AA$138=0,$AB$138=0),'PC25 Graphs'!$D95)))))))</f>
        <v>1000</v>
      </c>
      <c r="X181" s="783">
        <f ca="1">IF(AND($X$139=7,$AA$144=0,$AB$144=0),'PC40 Graphs'!L95,IF(AND($X$139=6,$AA$143=0,$AB$143=0),'PC40 Graphs'!N95,IF(AND($X$139=5,$AA$142=0,$AB$142=0),'PC40 Graphs'!P95,IF(AND($X$139=4,$AA$141=0,$AB$141=0),'PC32 Graphs'!L94,IF(AND($X$139=3,$AA$140=0,$AB$140=0),'PC32 Graphs'!N94,IF(AND($X$139=2,$AA$139=0,$AB$139=0),'PC25 Graphs'!L95,IF(AND($X$139=1,$AA$138=0,$AB$138=0),'PC25 Graphs'!N95)))))))</f>
        <v>222</v>
      </c>
      <c r="Y181" s="787">
        <f t="shared" ref="Y181:Y200" ca="1" si="46">U181</f>
        <v>853.33333333333326</v>
      </c>
      <c r="Z181" s="780">
        <f t="shared" ref="Z181:Z200" ca="1" si="47">VLOOKUP(U181,$W$148:$X$200,2)</f>
        <v>1158</v>
      </c>
      <c r="AA181" s="778">
        <f t="shared" ref="AA181:AA200" ca="1" si="48">IF(V181&gt;Z181,Z181,V181)</f>
        <v>103</v>
      </c>
      <c r="AB181" s="776"/>
      <c r="AD181" s="797">
        <f ca="1">Calc!B118</f>
        <v>5120</v>
      </c>
      <c r="AE181" s="797">
        <f ca="1">Calc!A118</f>
        <v>0.76937777777777805</v>
      </c>
      <c r="AG181" s="797">
        <f ca="1">Calc!B52</f>
        <v>8000</v>
      </c>
      <c r="AH181" s="797">
        <f ca="1">Calc!A52</f>
        <v>1.2244385054945026</v>
      </c>
      <c r="AQ181" s="824">
        <f t="shared" ca="1" si="38"/>
        <v>0.75764444444444479</v>
      </c>
      <c r="AR181" s="824">
        <f t="shared" ca="1" si="35"/>
        <v>5600</v>
      </c>
      <c r="AS181" s="824">
        <f t="shared" ca="1" si="36"/>
        <v>1.0454196043956014</v>
      </c>
      <c r="AT181" s="824">
        <f t="shared" ca="1" si="37"/>
        <v>8000</v>
      </c>
      <c r="AV181" s="873"/>
      <c r="AW181" s="873"/>
      <c r="AX181" s="873"/>
      <c r="AY181" s="873"/>
    </row>
    <row r="182" spans="21:51">
      <c r="U182" s="723">
        <f ca="1">IF(AND($X$139=7,$AA$144=0,$AB$144=0),'PC40 Graphs'!$B38,IF(AND($X$139=6,$AA$143=0,$AB$143=0),'PC40 Graphs'!$D38,IF(AND($X$139=5,$AA$142=0,$AB$142=0),'PC40 Graphs'!$F38,IF(AND($X$139=4,$AA$141=0,$AB$141=0),'PC32 Graphs'!$B38,IF(AND($X$139=3,$AA$140=0,$AB$140=0),'PC32 Graphs'!$D38,IF(AND($X$139=2,$AA$139=0,$AB$139=0),'PC25 Graphs'!$B39,IF(AND($X$139=1,$AA$138=0,$AB$138=0),'PC25 Graphs'!$D39)))))))</f>
        <v>880</v>
      </c>
      <c r="V182" s="48">
        <f ca="1">IF(AND($X$139=7,$AA$144=0,$AB$144=0),'PC40 Graphs'!$C38,IF(AND($X$139=6,$AA$143=0,$AB$143=0),'PC40 Graphs'!$E38,IF(AND($X$139=5,$AA$142=0,$AB$142=0),'PC40 Graphs'!$G38,IF(AND($X$139=4,$AA$141=0,$AB$141=0),'PC32 Graphs'!$C38,IF(AND($X$139=3,$AA$140=0,$AB$140=0),'PC32 Graphs'!$E38,IF(AND($X$139=2,$AA$139=0,$AB$139=0),'PC25 Graphs'!$C39,IF(AND($X$139=1,$AA$138=0,$AB$138=0),'PC25 Graphs'!$E39)))))))</f>
        <v>96</v>
      </c>
      <c r="W182" s="782">
        <f ca="1">IF(AND($X$139=7,$AA$144=0,$AB$144=0),'PC40 Graphs'!$B96,IF(AND($X$139=6,$AA$143=0,$AB$143=0),'PC40 Graphs'!$D96,IF(AND($X$139=5,$AA$142=0,$AB$142=0),'PC40 Graphs'!$F96,IF(AND($X$139=4,$AA$141=0,$AB$141=0),'PC32 Graphs'!$B95,IF(AND($X$139=3,$AA$140=0,$AB$140=0),'PC32 Graphs'!$D95,IF(AND($X$139=2,$AA$139=0,$AB$139=0),'PC25 Graphs'!$B96,IF(AND($X$139=1,$AA$138=0,$AB$138=0),'PC25 Graphs'!$D96)))))))</f>
        <v>1000</v>
      </c>
      <c r="X182" s="783">
        <f ca="1">IF(AND($X$139=7,$AA$144=0,$AB$144=0),'PC40 Graphs'!L96,IF(AND($X$139=6,$AA$143=0,$AB$143=0),'PC40 Graphs'!N96,IF(AND($X$139=5,$AA$142=0,$AB$142=0),'PC40 Graphs'!P96,IF(AND($X$139=4,$AA$141=0,$AB$141=0),'PC32 Graphs'!L95,IF(AND($X$139=3,$AA$140=0,$AB$140=0),'PC32 Graphs'!N95,IF(AND($X$139=2,$AA$139=0,$AB$139=0),'PC25 Graphs'!L96,IF(AND($X$139=1,$AA$138=0,$AB$138=0),'PC25 Graphs'!N96)))))))</f>
        <v>195</v>
      </c>
      <c r="Y182" s="787">
        <f t="shared" ca="1" si="46"/>
        <v>880</v>
      </c>
      <c r="Z182" s="780">
        <f t="shared" ca="1" si="47"/>
        <v>982</v>
      </c>
      <c r="AA182" s="778">
        <f t="shared" ca="1" si="48"/>
        <v>96</v>
      </c>
      <c r="AB182" s="776"/>
      <c r="AD182" s="797">
        <f ca="1">Calc!B119</f>
        <v>5280</v>
      </c>
      <c r="AE182" s="797">
        <f ca="1">Calc!A119</f>
        <v>0.76546666666666696</v>
      </c>
      <c r="AG182" s="797">
        <f ca="1">Calc!B53</f>
        <v>8000</v>
      </c>
      <c r="AH182" s="797">
        <f ca="1">Calc!A53</f>
        <v>1.1653619340659311</v>
      </c>
      <c r="AQ182" s="824">
        <f t="shared" ca="1" si="38"/>
        <v>0.7537333333333337</v>
      </c>
      <c r="AR182" s="824">
        <f t="shared" ca="1" si="35"/>
        <v>5760</v>
      </c>
      <c r="AS182" s="824">
        <f t="shared" ca="1" si="36"/>
        <v>0.98455384615384289</v>
      </c>
      <c r="AT182" s="824">
        <f t="shared" ca="1" si="37"/>
        <v>8000</v>
      </c>
      <c r="AV182" s="873"/>
      <c r="AW182" s="873"/>
      <c r="AX182" s="873"/>
      <c r="AY182" s="873"/>
    </row>
    <row r="183" spans="21:51">
      <c r="U183" s="723">
        <f ca="1">IF(AND($X$139=7,$AA$144=0,$AB$144=0),'PC40 Graphs'!$B39,IF(AND($X$139=6,$AA$143=0,$AB$143=0),'PC40 Graphs'!$D39,IF(AND($X$139=5,$AA$142=0,$AB$142=0),'PC40 Graphs'!$F39,IF(AND($X$139=4,$AA$141=0,$AB$141=0),'PC32 Graphs'!$B39,IF(AND($X$139=3,$AA$140=0,$AB$140=0),'PC32 Graphs'!$D39,IF(AND($X$139=2,$AA$139=0,$AB$139=0),'PC25 Graphs'!$B40,IF(AND($X$139=1,$AA$138=0,$AB$138=0),'PC25 Graphs'!$D40)))))))</f>
        <v>906.66666666666674</v>
      </c>
      <c r="V183" s="48">
        <f ca="1">IF(AND($X$139=7,$AA$144=0,$AB$144=0),'PC40 Graphs'!$C39,IF(AND($X$139=6,$AA$143=0,$AB$143=0),'PC40 Graphs'!$E39,IF(AND($X$139=5,$AA$142=0,$AB$142=0),'PC40 Graphs'!$G39,IF(AND($X$139=4,$AA$141=0,$AB$141=0),'PC32 Graphs'!$C39,IF(AND($X$139=3,$AA$140=0,$AB$140=0),'PC32 Graphs'!$E39,IF(AND($X$139=2,$AA$139=0,$AB$139=0),'PC25 Graphs'!$C40,IF(AND($X$139=1,$AA$138=0,$AB$138=0),'PC25 Graphs'!$E40)))))))</f>
        <v>89</v>
      </c>
      <c r="W183" s="782">
        <f ca="1">IF(AND($X$139=7,$AA$144=0,$AB$144=0),'PC40 Graphs'!$B97,IF(AND($X$139=6,$AA$143=0,$AB$143=0),'PC40 Graphs'!$D97,IF(AND($X$139=5,$AA$142=0,$AB$142=0),'PC40 Graphs'!$F97,IF(AND($X$139=4,$AA$141=0,$AB$141=0),'PC32 Graphs'!$B96,IF(AND($X$139=3,$AA$140=0,$AB$140=0),'PC32 Graphs'!$D96,IF(AND($X$139=2,$AA$139=0,$AB$139=0),'PC25 Graphs'!$B97,IF(AND($X$139=1,$AA$138=0,$AB$138=0),'PC25 Graphs'!$D97)))))))</f>
        <v>1000</v>
      </c>
      <c r="X183" s="783">
        <f ca="1">IF(AND($X$139=7,$AA$144=0,$AB$144=0),'PC40 Graphs'!L97,IF(AND($X$139=6,$AA$143=0,$AB$143=0),'PC40 Graphs'!N97,IF(AND($X$139=5,$AA$142=0,$AB$142=0),'PC40 Graphs'!P97,IF(AND($X$139=4,$AA$141=0,$AB$141=0),'PC32 Graphs'!L96,IF(AND($X$139=3,$AA$140=0,$AB$140=0),'PC32 Graphs'!N96,IF(AND($X$139=2,$AA$139=0,$AB$139=0),'PC25 Graphs'!L97,IF(AND($X$139=1,$AA$138=0,$AB$138=0),'PC25 Graphs'!N97)))))))</f>
        <v>168</v>
      </c>
      <c r="Y183" s="787">
        <f t="shared" ca="1" si="46"/>
        <v>906.66666666666674</v>
      </c>
      <c r="Z183" s="780">
        <f t="shared" ca="1" si="47"/>
        <v>939</v>
      </c>
      <c r="AA183" s="778">
        <f t="shared" ca="1" si="48"/>
        <v>89</v>
      </c>
      <c r="AB183" s="776"/>
      <c r="AD183" s="797">
        <f ca="1">Calc!B120</f>
        <v>5440</v>
      </c>
      <c r="AE183" s="797">
        <f ca="1">Calc!A120</f>
        <v>0.76155555555555587</v>
      </c>
      <c r="AG183" s="797">
        <f ca="1">Calc!B54</f>
        <v>8000</v>
      </c>
      <c r="AH183" s="797">
        <f ca="1">Calc!A54</f>
        <v>1.1056889670329642</v>
      </c>
      <c r="AQ183" s="824">
        <f t="shared" ca="1" si="38"/>
        <v>0.74982222222222261</v>
      </c>
      <c r="AR183" s="824">
        <f t="shared" ca="1" si="35"/>
        <v>5920</v>
      </c>
      <c r="AS183" s="824">
        <f t="shared" ca="1" si="36"/>
        <v>0.92309169230768928</v>
      </c>
      <c r="AT183" s="824">
        <f t="shared" ca="1" si="37"/>
        <v>8000</v>
      </c>
      <c r="AV183" s="873"/>
      <c r="AW183" s="873"/>
      <c r="AX183" s="873"/>
      <c r="AY183" s="873"/>
    </row>
    <row r="184" spans="21:51">
      <c r="U184" s="723">
        <f ca="1">IF(AND($X$139=7,$AA$144=0,$AB$144=0),'PC40 Graphs'!$B40,IF(AND($X$139=6,$AA$143=0,$AB$143=0),'PC40 Graphs'!$D40,IF(AND($X$139=5,$AA$142=0,$AB$142=0),'PC40 Graphs'!$F40,IF(AND($X$139=4,$AA$141=0,$AB$141=0),'PC32 Graphs'!$B40,IF(AND($X$139=3,$AA$140=0,$AB$140=0),'PC32 Graphs'!$D40,IF(AND($X$139=2,$AA$139=0,$AB$139=0),'PC25 Graphs'!$B41,IF(AND($X$139=1,$AA$138=0,$AB$138=0),'PC25 Graphs'!$D41)))))))</f>
        <v>933.33333333333326</v>
      </c>
      <c r="V184" s="48">
        <f ca="1">IF(AND($X$139=7,$AA$144=0,$AB$144=0),'PC40 Graphs'!$C40,IF(AND($X$139=6,$AA$143=0,$AB$143=0),'PC40 Graphs'!$E40,IF(AND($X$139=5,$AA$142=0,$AB$142=0),'PC40 Graphs'!$G40,IF(AND($X$139=4,$AA$141=0,$AB$141=0),'PC32 Graphs'!$C40,IF(AND($X$139=3,$AA$140=0,$AB$140=0),'PC32 Graphs'!$E40,IF(AND($X$139=2,$AA$139=0,$AB$139=0),'PC25 Graphs'!$C41,IF(AND($X$139=1,$AA$138=0,$AB$138=0),'PC25 Graphs'!$E41)))))))</f>
        <v>83</v>
      </c>
      <c r="W184" s="782">
        <f ca="1">IF(AND($X$139=7,$AA$144=0,$AB$144=0),'PC40 Graphs'!$B98,IF(AND($X$139=6,$AA$143=0,$AB$143=0),'PC40 Graphs'!$D98,IF(AND($X$139=5,$AA$142=0,$AB$142=0),'PC40 Graphs'!$F98,IF(AND($X$139=4,$AA$141=0,$AB$141=0),'PC32 Graphs'!$B97,IF(AND($X$139=3,$AA$140=0,$AB$140=0),'PC32 Graphs'!$D97,IF(AND($X$139=2,$AA$139=0,$AB$139=0),'PC25 Graphs'!$B98,IF(AND($X$139=1,$AA$138=0,$AB$138=0),'PC25 Graphs'!$D98)))))))</f>
        <v>1000</v>
      </c>
      <c r="X184" s="783">
        <f ca="1">IF(AND($X$139=7,$AA$144=0,$AB$144=0),'PC40 Graphs'!L98,IF(AND($X$139=6,$AA$143=0,$AB$143=0),'PC40 Graphs'!N98,IF(AND($X$139=5,$AA$142=0,$AB$142=0),'PC40 Graphs'!P98,IF(AND($X$139=4,$AA$141=0,$AB$141=0),'PC32 Graphs'!L97,IF(AND($X$139=3,$AA$140=0,$AB$140=0),'PC32 Graphs'!N97,IF(AND($X$139=2,$AA$139=0,$AB$139=0),'PC25 Graphs'!L98,IF(AND($X$139=1,$AA$138=0,$AB$138=0),'PC25 Graphs'!N98)))))))</f>
        <v>141</v>
      </c>
      <c r="Y184" s="787">
        <f t="shared" ca="1" si="46"/>
        <v>933.33333333333326</v>
      </c>
      <c r="Z184" s="780">
        <f t="shared" ca="1" si="47"/>
        <v>896</v>
      </c>
      <c r="AA184" s="778">
        <f t="shared" ca="1" si="48"/>
        <v>83</v>
      </c>
      <c r="AB184" s="776"/>
      <c r="AD184" s="797">
        <f ca="1">Calc!B121</f>
        <v>5600</v>
      </c>
      <c r="AE184" s="797">
        <f ca="1">Calc!A121</f>
        <v>0.75764444444444479</v>
      </c>
      <c r="AG184" s="797">
        <f ca="1">Calc!B55</f>
        <v>8000</v>
      </c>
      <c r="AH184" s="797">
        <f ca="1">Calc!A55</f>
        <v>1.0454196043956014</v>
      </c>
      <c r="AQ184" s="824">
        <f t="shared" ca="1" si="38"/>
        <v>0.74591111111111152</v>
      </c>
      <c r="AR184" s="824">
        <f t="shared" ca="1" si="35"/>
        <v>6080</v>
      </c>
      <c r="AS184" s="824">
        <f t="shared" ca="1" si="36"/>
        <v>0.86103314285713972</v>
      </c>
      <c r="AT184" s="824">
        <f t="shared" ca="1" si="37"/>
        <v>8000</v>
      </c>
      <c r="AV184" s="873"/>
      <c r="AW184" s="873"/>
      <c r="AX184" s="873"/>
      <c r="AY184" s="873"/>
    </row>
    <row r="185" spans="21:51">
      <c r="U185" s="723">
        <f ca="1">IF(AND($X$139=7,$AA$144=0,$AB$144=0),'PC40 Graphs'!$B41,IF(AND($X$139=6,$AA$143=0,$AB$143=0),'PC40 Graphs'!$D41,IF(AND($X$139=5,$AA$142=0,$AB$142=0),'PC40 Graphs'!$F41,IF(AND($X$139=4,$AA$141=0,$AB$141=0),'PC32 Graphs'!$B41,IF(AND($X$139=3,$AA$140=0,$AB$140=0),'PC32 Graphs'!$D41,IF(AND($X$139=2,$AA$139=0,$AB$139=0),'PC25 Graphs'!$B42,IF(AND($X$139=1,$AA$138=0,$AB$138=0),'PC25 Graphs'!$D42)))))))</f>
        <v>960</v>
      </c>
      <c r="V185" s="48">
        <f ca="1">IF(AND($X$139=7,$AA$144=0,$AB$144=0),'PC40 Graphs'!$C41,IF(AND($X$139=6,$AA$143=0,$AB$143=0),'PC40 Graphs'!$E41,IF(AND($X$139=5,$AA$142=0,$AB$142=0),'PC40 Graphs'!$G41,IF(AND($X$139=4,$AA$141=0,$AB$141=0),'PC32 Graphs'!$C41,IF(AND($X$139=3,$AA$140=0,$AB$140=0),'PC32 Graphs'!$E41,IF(AND($X$139=2,$AA$139=0,$AB$139=0),'PC25 Graphs'!$C42,IF(AND($X$139=1,$AA$138=0,$AB$138=0),'PC25 Graphs'!$E42)))))))</f>
        <v>76</v>
      </c>
      <c r="W185" s="782">
        <f ca="1">IF(AND($X$139=7,$AA$144=0,$AB$144=0),'PC40 Graphs'!$B99,IF(AND($X$139=6,$AA$143=0,$AB$143=0),'PC40 Graphs'!$D99,IF(AND($X$139=5,$AA$142=0,$AB$142=0),'PC40 Graphs'!$F99,IF(AND($X$139=4,$AA$141=0,$AB$141=0),'PC32 Graphs'!$B98,IF(AND($X$139=3,$AA$140=0,$AB$140=0),'PC32 Graphs'!$D98,IF(AND($X$139=2,$AA$139=0,$AB$139=0),'PC25 Graphs'!$B99,IF(AND($X$139=1,$AA$138=0,$AB$138=0),'PC25 Graphs'!$D99)))))))</f>
        <v>1000</v>
      </c>
      <c r="X185" s="783">
        <f ca="1">IF(AND($X$139=7,$AA$144=0,$AB$144=0),'PC40 Graphs'!L99,IF(AND($X$139=6,$AA$143=0,$AB$143=0),'PC40 Graphs'!N99,IF(AND($X$139=5,$AA$142=0,$AB$142=0),'PC40 Graphs'!P99,IF(AND($X$139=4,$AA$141=0,$AB$141=0),'PC32 Graphs'!L98,IF(AND($X$139=3,$AA$140=0,$AB$140=0),'PC32 Graphs'!N98,IF(AND($X$139=2,$AA$139=0,$AB$139=0),'PC25 Graphs'!L99,IF(AND($X$139=1,$AA$138=0,$AB$138=0),'PC25 Graphs'!N99)))))))</f>
        <v>113</v>
      </c>
      <c r="Y185" s="787">
        <f t="shared" ca="1" si="46"/>
        <v>960</v>
      </c>
      <c r="Z185" s="780">
        <f t="shared" ca="1" si="47"/>
        <v>851</v>
      </c>
      <c r="AA185" s="778">
        <f t="shared" ca="1" si="48"/>
        <v>76</v>
      </c>
      <c r="AB185" s="776"/>
      <c r="AD185" s="797">
        <f ca="1">Calc!B122</f>
        <v>5760</v>
      </c>
      <c r="AE185" s="797">
        <f ca="1">Calc!A122</f>
        <v>0.7537333333333337</v>
      </c>
      <c r="AG185" s="797">
        <f ca="1">Calc!B56</f>
        <v>8000</v>
      </c>
      <c r="AH185" s="797">
        <f ca="1">Calc!A56</f>
        <v>0.98455384615384289</v>
      </c>
      <c r="AQ185" s="824">
        <f t="shared" ca="1" si="38"/>
        <v>0.74200000000000044</v>
      </c>
      <c r="AR185" s="824">
        <f t="shared" ca="1" si="35"/>
        <v>6240</v>
      </c>
      <c r="AS185" s="824">
        <f t="shared" ca="1" si="36"/>
        <v>0.79837819780219466</v>
      </c>
      <c r="AT185" s="824">
        <f t="shared" ca="1" si="37"/>
        <v>8000</v>
      </c>
      <c r="AV185" s="873"/>
      <c r="AW185" s="873"/>
      <c r="AX185" s="873"/>
      <c r="AY185" s="873"/>
    </row>
    <row r="186" spans="21:51">
      <c r="U186" s="723">
        <f ca="1">IF(AND($X$139=7,$AA$144=0,$AB$144=0),'PC40 Graphs'!$B42,IF(AND($X$139=6,$AA$143=0,$AB$143=0),'PC40 Graphs'!$D42,IF(AND($X$139=5,$AA$142=0,$AB$142=0),'PC40 Graphs'!$F42,IF(AND($X$139=4,$AA$141=0,$AB$141=0),'PC32 Graphs'!$B42,IF(AND($X$139=3,$AA$140=0,$AB$140=0),'PC32 Graphs'!$D42,IF(AND($X$139=2,$AA$139=0,$AB$139=0),'PC25 Graphs'!$B43,IF(AND($X$139=1,$AA$138=0,$AB$138=0),'PC25 Graphs'!$D43)))))))</f>
        <v>986.66666666666674</v>
      </c>
      <c r="V186" s="48">
        <f ca="1">IF(AND($X$139=7,$AA$144=0,$AB$144=0),'PC40 Graphs'!$C42,IF(AND($X$139=6,$AA$143=0,$AB$143=0),'PC40 Graphs'!$E42,IF(AND($X$139=5,$AA$142=0,$AB$142=0),'PC40 Graphs'!$G42,IF(AND($X$139=4,$AA$141=0,$AB$141=0),'PC32 Graphs'!$C42,IF(AND($X$139=3,$AA$140=0,$AB$140=0),'PC32 Graphs'!$E42,IF(AND($X$139=2,$AA$139=0,$AB$139=0),'PC25 Graphs'!$C43,IF(AND($X$139=1,$AA$138=0,$AB$138=0),'PC25 Graphs'!$E43)))))))</f>
        <v>70</v>
      </c>
      <c r="W186" s="782">
        <f ca="1">IF(AND($X$139=7,$AA$144=0,$AB$144=0),'PC40 Graphs'!$B100,IF(AND($X$139=6,$AA$143=0,$AB$143=0),'PC40 Graphs'!$D100,IF(AND($X$139=5,$AA$142=0,$AB$142=0),'PC40 Graphs'!$F100,IF(AND($X$139=4,$AA$141=0,$AB$141=0),'PC32 Graphs'!$B99,IF(AND($X$139=3,$AA$140=0,$AB$140=0),'PC32 Graphs'!$D99,IF(AND($X$139=2,$AA$139=0,$AB$139=0),'PC25 Graphs'!$B100,IF(AND($X$139=1,$AA$138=0,$AB$138=0),'PC25 Graphs'!$D100)))))))</f>
        <v>1000</v>
      </c>
      <c r="X186" s="783">
        <f ca="1">IF(AND($X$139=7,$AA$144=0,$AB$144=0),'PC40 Graphs'!L100,IF(AND($X$139=6,$AA$143=0,$AB$143=0),'PC40 Graphs'!N100,IF(AND($X$139=5,$AA$142=0,$AB$142=0),'PC40 Graphs'!P100,IF(AND($X$139=4,$AA$141=0,$AB$141=0),'PC32 Graphs'!L99,IF(AND($X$139=3,$AA$140=0,$AB$140=0),'PC32 Graphs'!N99,IF(AND($X$139=2,$AA$139=0,$AB$139=0),'PC25 Graphs'!L100,IF(AND($X$139=1,$AA$138=0,$AB$138=0),'PC25 Graphs'!N100)))))))</f>
        <v>85</v>
      </c>
      <c r="Y186" s="787">
        <f t="shared" ca="1" si="46"/>
        <v>986.66666666666674</v>
      </c>
      <c r="Z186" s="780">
        <f t="shared" ca="1" si="47"/>
        <v>805</v>
      </c>
      <c r="AA186" s="778">
        <f t="shared" ca="1" si="48"/>
        <v>70</v>
      </c>
      <c r="AB186" s="776"/>
      <c r="AD186" s="797">
        <f ca="1">Calc!B123</f>
        <v>5920</v>
      </c>
      <c r="AE186" s="797">
        <f ca="1">Calc!A123</f>
        <v>0.74982222222222261</v>
      </c>
      <c r="AG186" s="797">
        <f ca="1">Calc!B57</f>
        <v>8000</v>
      </c>
      <c r="AH186" s="797">
        <f ca="1">Calc!A57</f>
        <v>0.92309169230768928</v>
      </c>
      <c r="AQ186" s="824">
        <f t="shared" ca="1" si="38"/>
        <v>0.73808888888888935</v>
      </c>
      <c r="AR186" s="824">
        <f t="shared" ca="1" si="35"/>
        <v>6400</v>
      </c>
      <c r="AS186" s="824">
        <f t="shared" ca="1" si="36"/>
        <v>0.73512685714285386</v>
      </c>
      <c r="AT186" s="824">
        <f t="shared" ca="1" si="37"/>
        <v>8000</v>
      </c>
      <c r="AV186" s="873"/>
      <c r="AW186" s="873"/>
      <c r="AX186" s="873"/>
      <c r="AY186" s="873"/>
    </row>
    <row r="187" spans="21:51">
      <c r="U187" s="723">
        <f ca="1">IF(AND($X$139=7,$AA$144=0,$AB$144=0),'PC40 Graphs'!$B43,IF(AND($X$139=6,$AA$143=0,$AB$143=0),'PC40 Graphs'!$D43,IF(AND($X$139=5,$AA$142=0,$AB$142=0),'PC40 Graphs'!$F43,IF(AND($X$139=4,$AA$141=0,$AB$141=0),'PC32 Graphs'!$B43,IF(AND($X$139=3,$AA$140=0,$AB$140=0),'PC32 Graphs'!$D43,IF(AND($X$139=2,$AA$139=0,$AB$139=0),'PC25 Graphs'!$B44,IF(AND($X$139=1,$AA$138=0,$AB$138=0),'PC25 Graphs'!$D44)))))))</f>
        <v>986.66666666666674</v>
      </c>
      <c r="V187" s="48">
        <f ca="1">IF(AND($X$139=7,$AA$144=0,$AB$144=0),'PC40 Graphs'!$C43,IF(AND($X$139=6,$AA$143=0,$AB$143=0),'PC40 Graphs'!$E43,IF(AND($X$139=5,$AA$142=0,$AB$142=0),'PC40 Graphs'!$G43,IF(AND($X$139=4,$AA$141=0,$AB$141=0),'PC32 Graphs'!$C43,IF(AND($X$139=3,$AA$140=0,$AB$140=0),'PC32 Graphs'!$E43,IF(AND($X$139=2,$AA$139=0,$AB$139=0),'PC25 Graphs'!$C44,IF(AND($X$139=1,$AA$138=0,$AB$138=0),'PC25 Graphs'!$E44)))))))</f>
        <v>63</v>
      </c>
      <c r="W187" s="782">
        <f ca="1">IF(AND($X$139=7,$AA$144=0,$AB$144=0),'PC40 Graphs'!$B101,IF(AND($X$139=6,$AA$143=0,$AB$143=0),'PC40 Graphs'!$D101,IF(AND($X$139=5,$AA$142=0,$AB$142=0),'PC40 Graphs'!$F101,IF(AND($X$139=4,$AA$141=0,$AB$141=0),'PC32 Graphs'!$B100,IF(AND($X$139=3,$AA$140=0,$AB$140=0),'PC32 Graphs'!$D100,IF(AND($X$139=2,$AA$139=0,$AB$139=0),'PC25 Graphs'!$B101,IF(AND($X$139=1,$AA$138=0,$AB$138=0),'PC25 Graphs'!$D101)))))))</f>
        <v>1000</v>
      </c>
      <c r="X187" s="783">
        <f ca="1">IF(AND($X$139=7,$AA$144=0,$AB$144=0),'PC40 Graphs'!L101,IF(AND($X$139=6,$AA$143=0,$AB$143=0),'PC40 Graphs'!N101,IF(AND($X$139=5,$AA$142=0,$AB$142=0),'PC40 Graphs'!P101,IF(AND($X$139=4,$AA$141=0,$AB$141=0),'PC32 Graphs'!L100,IF(AND($X$139=3,$AA$140=0,$AB$140=0),'PC32 Graphs'!N100,IF(AND($X$139=2,$AA$139=0,$AB$139=0),'PC25 Graphs'!L101,IF(AND($X$139=1,$AA$138=0,$AB$138=0),'PC25 Graphs'!N101)))))))</f>
        <v>57</v>
      </c>
      <c r="Y187" s="787">
        <f t="shared" ca="1" si="46"/>
        <v>986.66666666666674</v>
      </c>
      <c r="Z187" s="780">
        <f t="shared" ca="1" si="47"/>
        <v>805</v>
      </c>
      <c r="AA187" s="778">
        <f t="shared" ca="1" si="48"/>
        <v>63</v>
      </c>
      <c r="AB187" s="776"/>
      <c r="AD187" s="797">
        <f ca="1">Calc!B124</f>
        <v>6080</v>
      </c>
      <c r="AE187" s="797">
        <f ca="1">Calc!A124</f>
        <v>0.74591111111111152</v>
      </c>
      <c r="AG187" s="797">
        <f ca="1">Calc!B58</f>
        <v>8000</v>
      </c>
      <c r="AH187" s="797">
        <f ca="1">Calc!A58</f>
        <v>0.86103314285713972</v>
      </c>
      <c r="AQ187" s="824">
        <f t="shared" ca="1" si="38"/>
        <v>0.73417777777777826</v>
      </c>
      <c r="AR187" s="824">
        <f t="shared" ca="1" si="35"/>
        <v>6560</v>
      </c>
      <c r="AS187" s="824">
        <f t="shared" ca="1" si="36"/>
        <v>0.67127912087911767</v>
      </c>
      <c r="AT187" s="824">
        <f t="shared" ca="1" si="37"/>
        <v>8000</v>
      </c>
      <c r="AV187" s="873"/>
      <c r="AW187" s="873"/>
      <c r="AX187" s="873"/>
      <c r="AY187" s="873"/>
    </row>
    <row r="188" spans="21:51">
      <c r="U188" s="723">
        <f ca="1">IF(AND($X$139=7,$AA$144=0,$AB$144=0),'PC40 Graphs'!$B44,IF(AND($X$139=6,$AA$143=0,$AB$143=0),'PC40 Graphs'!$D44,IF(AND($X$139=5,$AA$142=0,$AB$142=0),'PC40 Graphs'!$F44,IF(AND($X$139=4,$AA$141=0,$AB$141=0),'PC32 Graphs'!$B44,IF(AND($X$139=3,$AA$140=0,$AB$140=0),'PC32 Graphs'!$D44,IF(AND($X$139=2,$AA$139=0,$AB$139=0),'PC25 Graphs'!$B45,IF(AND($X$139=1,$AA$138=0,$AB$138=0),'PC25 Graphs'!$D45)))))))</f>
        <v>986.66666666666674</v>
      </c>
      <c r="V188" s="48">
        <f ca="1">IF(AND($X$139=7,$AA$144=0,$AB$144=0),'PC40 Graphs'!$C44,IF(AND($X$139=6,$AA$143=0,$AB$143=0),'PC40 Graphs'!$E44,IF(AND($X$139=5,$AA$142=0,$AB$142=0),'PC40 Graphs'!$G44,IF(AND($X$139=4,$AA$141=0,$AB$141=0),'PC32 Graphs'!$C44,IF(AND($X$139=3,$AA$140=0,$AB$140=0),'PC32 Graphs'!$E44,IF(AND($X$139=2,$AA$139=0,$AB$139=0),'PC25 Graphs'!$C45,IF(AND($X$139=1,$AA$138=0,$AB$138=0),'PC25 Graphs'!$E45)))))))</f>
        <v>57</v>
      </c>
      <c r="W188" s="782">
        <f ca="1">IF(AND($X$139=7,$AA$144=0,$AB$144=0),'PC40 Graphs'!$B102,IF(AND($X$139=6,$AA$143=0,$AB$143=0),'PC40 Graphs'!$D102,IF(AND($X$139=5,$AA$142=0,$AB$142=0),'PC40 Graphs'!$F102,IF(AND($X$139=4,$AA$141=0,$AB$141=0),'PC32 Graphs'!$B101,IF(AND($X$139=3,$AA$140=0,$AB$140=0),'PC32 Graphs'!$D101,IF(AND($X$139=2,$AA$139=0,$AB$139=0),'PC25 Graphs'!$B102,IF(AND($X$139=1,$AA$138=0,$AB$138=0),'PC25 Graphs'!$D102)))))))</f>
        <v>1000</v>
      </c>
      <c r="X188" s="783">
        <f ca="1">IF(AND($X$139=7,$AA$144=0,$AB$144=0),'PC40 Graphs'!L102,IF(AND($X$139=6,$AA$143=0,$AB$143=0),'PC40 Graphs'!N102,IF(AND($X$139=5,$AA$142=0,$AB$142=0),'PC40 Graphs'!P102,IF(AND($X$139=4,$AA$141=0,$AB$141=0),'PC32 Graphs'!L101,IF(AND($X$139=3,$AA$140=0,$AB$140=0),'PC32 Graphs'!N101,IF(AND($X$139=2,$AA$139=0,$AB$139=0),'PC25 Graphs'!L102,IF(AND($X$139=1,$AA$138=0,$AB$138=0),'PC25 Graphs'!N102)))))))</f>
        <v>29</v>
      </c>
      <c r="Y188" s="787">
        <f t="shared" ca="1" si="46"/>
        <v>986.66666666666674</v>
      </c>
      <c r="Z188" s="780">
        <f t="shared" ca="1" si="47"/>
        <v>805</v>
      </c>
      <c r="AA188" s="778">
        <f t="shared" ca="1" si="48"/>
        <v>57</v>
      </c>
      <c r="AB188" s="776"/>
      <c r="AD188" s="797">
        <f ca="1">Calc!B125</f>
        <v>6240</v>
      </c>
      <c r="AE188" s="797">
        <f ca="1">Calc!A125</f>
        <v>0.74200000000000044</v>
      </c>
      <c r="AG188" s="797">
        <f ca="1">Calc!B59</f>
        <v>8000</v>
      </c>
      <c r="AH188" s="797">
        <f ca="1">Calc!A59</f>
        <v>0.79837819780219466</v>
      </c>
      <c r="AQ188" s="824">
        <f t="shared" ca="1" si="38"/>
        <v>0.73026666666666717</v>
      </c>
      <c r="AR188" s="824">
        <f t="shared" ca="1" si="35"/>
        <v>6720</v>
      </c>
      <c r="AS188" s="824">
        <f t="shared" ca="1" si="36"/>
        <v>0.60683498901098565</v>
      </c>
      <c r="AT188" s="824">
        <f t="shared" ca="1" si="37"/>
        <v>8000</v>
      </c>
      <c r="AV188" s="873"/>
      <c r="AW188" s="873"/>
      <c r="AX188" s="873"/>
      <c r="AY188" s="873"/>
    </row>
    <row r="189" spans="21:51">
      <c r="U189" s="723">
        <f ca="1">IF(AND($X$139=7,$AA$144=0,$AB$144=0),'PC40 Graphs'!$B45,IF(AND($X$139=6,$AA$143=0,$AB$143=0),'PC40 Graphs'!$D45,IF(AND($X$139=5,$AA$142=0,$AB$142=0),'PC40 Graphs'!$F45,IF(AND($X$139=4,$AA$141=0,$AB$141=0),'PC32 Graphs'!$B45,IF(AND($X$139=3,$AA$140=0,$AB$140=0),'PC32 Graphs'!$D45,IF(AND($X$139=2,$AA$139=0,$AB$139=0),'PC25 Graphs'!$B46,IF(AND($X$139=1,$AA$138=0,$AB$138=0),'PC25 Graphs'!$D46)))))))</f>
        <v>986.66666666666674</v>
      </c>
      <c r="V189" s="48">
        <f ca="1">IF(AND($X$139=7,$AA$144=0,$AB$144=0),'PC40 Graphs'!$C45,IF(AND($X$139=6,$AA$143=0,$AB$143=0),'PC40 Graphs'!$E45,IF(AND($X$139=5,$AA$142=0,$AB$142=0),'PC40 Graphs'!$G45,IF(AND($X$139=4,$AA$141=0,$AB$141=0),'PC32 Graphs'!$C45,IF(AND($X$139=3,$AA$140=0,$AB$140=0),'PC32 Graphs'!$E45,IF(AND($X$139=2,$AA$139=0,$AB$139=0),'PC25 Graphs'!$C46,IF(AND($X$139=1,$AA$138=0,$AB$138=0),'PC25 Graphs'!$E46)))))))</f>
        <v>50</v>
      </c>
      <c r="W189" s="782">
        <f ca="1">IF(AND($X$139=7,$AA$144=0,$AB$144=0),'PC40 Graphs'!$B103,IF(AND($X$139=6,$AA$143=0,$AB$143=0),'PC40 Graphs'!$D103,IF(AND($X$139=5,$AA$142=0,$AB$142=0),'PC40 Graphs'!$F103,IF(AND($X$139=4,$AA$141=0,$AB$141=0),'PC32 Graphs'!$B102,IF(AND($X$139=3,$AA$140=0,$AB$140=0),'PC32 Graphs'!$D102,IF(AND($X$139=2,$AA$139=0,$AB$139=0),'PC25 Graphs'!$B103,IF(AND($X$139=1,$AA$138=0,$AB$138=0),'PC25 Graphs'!$D103)))))))</f>
        <v>1000</v>
      </c>
      <c r="X189" s="783">
        <f ca="1">IF(AND($X$139=7,$AA$144=0,$AB$144=0),'PC40 Graphs'!L103,IF(AND($X$139=6,$AA$143=0,$AB$143=0),'PC40 Graphs'!N103,IF(AND($X$139=5,$AA$142=0,$AB$142=0),'PC40 Graphs'!P103,IF(AND($X$139=4,$AA$141=0,$AB$141=0),'PC32 Graphs'!L102,IF(AND($X$139=3,$AA$140=0,$AB$140=0),'PC32 Graphs'!N102,IF(AND($X$139=2,$AA$139=0,$AB$139=0),'PC25 Graphs'!L103,IF(AND($X$139=1,$AA$138=0,$AB$138=0),'PC25 Graphs'!N103)))))))</f>
        <v>0</v>
      </c>
      <c r="Y189" s="787">
        <f t="shared" ca="1" si="46"/>
        <v>986.66666666666674</v>
      </c>
      <c r="Z189" s="780">
        <f t="shared" ca="1" si="47"/>
        <v>805</v>
      </c>
      <c r="AA189" s="778">
        <f t="shared" ca="1" si="48"/>
        <v>50</v>
      </c>
      <c r="AB189" s="776"/>
      <c r="AD189" s="797">
        <f ca="1">Calc!B126</f>
        <v>6400</v>
      </c>
      <c r="AE189" s="797">
        <f ca="1">Calc!A126</f>
        <v>0.73808888888888935</v>
      </c>
      <c r="AG189" s="797">
        <f ca="1">Calc!B60</f>
        <v>8000</v>
      </c>
      <c r="AH189" s="797">
        <f ca="1">Calc!A60</f>
        <v>0.73512685714285386</v>
      </c>
      <c r="AQ189" s="824">
        <f t="shared" ca="1" si="38"/>
        <v>0.72635555555555609</v>
      </c>
      <c r="AR189" s="824">
        <f t="shared" ca="1" si="35"/>
        <v>6880</v>
      </c>
      <c r="AS189" s="824">
        <f t="shared" ca="1" si="36"/>
        <v>0.54179446153845823</v>
      </c>
      <c r="AT189" s="824">
        <f t="shared" ca="1" si="37"/>
        <v>8000</v>
      </c>
      <c r="AV189" s="873"/>
      <c r="AW189" s="873"/>
      <c r="AX189" s="873"/>
      <c r="AY189" s="873"/>
    </row>
    <row r="190" spans="21:51">
      <c r="U190" s="723">
        <f ca="1">IF(AND($X$139=7,$AA$144=0,$AB$144=0),'PC40 Graphs'!$B46,IF(AND($X$139=6,$AA$143=0,$AB$143=0),'PC40 Graphs'!$D46,IF(AND($X$139=5,$AA$142=0,$AB$142=0),'PC40 Graphs'!$F46,IF(AND($X$139=4,$AA$141=0,$AB$141=0),'PC32 Graphs'!$B46,IF(AND($X$139=3,$AA$140=0,$AB$140=0),'PC32 Graphs'!$D46,IF(AND($X$139=2,$AA$139=0,$AB$139=0),'PC25 Graphs'!$B47,IF(AND($X$139=1,$AA$138=0,$AB$138=0),'PC25 Graphs'!$D47)))))))</f>
        <v>986.66666666666674</v>
      </c>
      <c r="V190" s="48">
        <f ca="1">IF(AND($X$139=7,$AA$144=0,$AB$144=0),'PC40 Graphs'!$C46,IF(AND($X$139=6,$AA$143=0,$AB$143=0),'PC40 Graphs'!$E46,IF(AND($X$139=5,$AA$142=0,$AB$142=0),'PC40 Graphs'!$G46,IF(AND($X$139=4,$AA$141=0,$AB$141=0),'PC32 Graphs'!$C46,IF(AND($X$139=3,$AA$140=0,$AB$140=0),'PC32 Graphs'!$E46,IF(AND($X$139=2,$AA$139=0,$AB$139=0),'PC25 Graphs'!$C47,IF(AND($X$139=1,$AA$138=0,$AB$138=0),'PC25 Graphs'!$E47)))))))</f>
        <v>43</v>
      </c>
      <c r="W190" s="782">
        <f ca="1">IF(AND($X$139=7,$AA$144=0,$AB$144=0),'PC40 Graphs'!$B104,IF(AND($X$139=6,$AA$143=0,$AB$143=0),'PC40 Graphs'!$D104,IF(AND($X$139=5,$AA$142=0,$AB$142=0),'PC40 Graphs'!$F104,IF(AND($X$139=4,$AA$141=0,$AB$141=0),'PC32 Graphs'!$B103,IF(AND($X$139=3,$AA$140=0,$AB$140=0),'PC32 Graphs'!$D103,IF(AND($X$139=2,$AA$139=0,$AB$139=0),'PC25 Graphs'!$B104,IF(AND($X$139=1,$AA$138=0,$AB$138=0),'PC25 Graphs'!$D104)))))))</f>
        <v>1000</v>
      </c>
      <c r="X190" s="783">
        <f ca="1">IF(AND($X$139=7,$AA$144=0,$AB$144=0),'PC40 Graphs'!L104,IF(AND($X$139=6,$AA$143=0,$AB$143=0),'PC40 Graphs'!N104,IF(AND($X$139=5,$AA$142=0,$AB$142=0),'PC40 Graphs'!P104,IF(AND($X$139=4,$AA$141=0,$AB$141=0),'PC32 Graphs'!L103,IF(AND($X$139=3,$AA$140=0,$AB$140=0),'PC32 Graphs'!N103,IF(AND($X$139=2,$AA$139=0,$AB$139=0),'PC25 Graphs'!L104,IF(AND($X$139=1,$AA$138=0,$AB$138=0),'PC25 Graphs'!N104)))))))</f>
        <v>0</v>
      </c>
      <c r="Y190" s="787">
        <f t="shared" ca="1" si="46"/>
        <v>986.66666666666674</v>
      </c>
      <c r="Z190" s="780">
        <f t="shared" ca="1" si="47"/>
        <v>805</v>
      </c>
      <c r="AA190" s="778">
        <f t="shared" ca="1" si="48"/>
        <v>43</v>
      </c>
      <c r="AB190" s="776"/>
      <c r="AD190" s="797">
        <f ca="1">Calc!B127</f>
        <v>6560</v>
      </c>
      <c r="AE190" s="797">
        <f ca="1">Calc!A127</f>
        <v>0.73417777777777826</v>
      </c>
      <c r="AG190" s="797">
        <f ca="1">Calc!B61</f>
        <v>8000</v>
      </c>
      <c r="AH190" s="797">
        <f ca="1">Calc!A61</f>
        <v>0.67127912087911767</v>
      </c>
      <c r="AQ190" s="824">
        <f t="shared" ca="1" si="38"/>
        <v>0.722444444444445</v>
      </c>
      <c r="AR190" s="824">
        <f t="shared" ca="1" si="35"/>
        <v>7040</v>
      </c>
      <c r="AS190" s="824">
        <f t="shared" ca="1" si="36"/>
        <v>0.47615753846153508</v>
      </c>
      <c r="AT190" s="824">
        <f t="shared" ca="1" si="37"/>
        <v>8000</v>
      </c>
      <c r="AV190" s="873"/>
      <c r="AW190" s="873"/>
      <c r="AX190" s="873"/>
      <c r="AY190" s="873"/>
    </row>
    <row r="191" spans="21:51">
      <c r="U191" s="723">
        <f ca="1">IF(AND($X$139=7,$AA$144=0,$AB$144=0),'PC40 Graphs'!$B47,IF(AND($X$139=6,$AA$143=0,$AB$143=0),'PC40 Graphs'!$D47,IF(AND($X$139=5,$AA$142=0,$AB$142=0),'PC40 Graphs'!$F47,IF(AND($X$139=4,$AA$141=0,$AB$141=0),'PC32 Graphs'!$B47,IF(AND($X$139=3,$AA$140=0,$AB$140=0),'PC32 Graphs'!$D47,IF(AND($X$139=2,$AA$139=0,$AB$139=0),'PC25 Graphs'!$B48,IF(AND($X$139=1,$AA$138=0,$AB$138=0),'PC25 Graphs'!$D48)))))))</f>
        <v>986.66666666666674</v>
      </c>
      <c r="V191" s="48">
        <f ca="1">IF(AND($X$139=7,$AA$144=0,$AB$144=0),'PC40 Graphs'!$C47,IF(AND($X$139=6,$AA$143=0,$AB$143=0),'PC40 Graphs'!$E47,IF(AND($X$139=5,$AA$142=0,$AB$142=0),'PC40 Graphs'!$G47,IF(AND($X$139=4,$AA$141=0,$AB$141=0),'PC32 Graphs'!$C47,IF(AND($X$139=3,$AA$140=0,$AB$140=0),'PC32 Graphs'!$E47,IF(AND($X$139=2,$AA$139=0,$AB$139=0),'PC25 Graphs'!$C48,IF(AND($X$139=1,$AA$138=0,$AB$138=0),'PC25 Graphs'!$E48)))))))</f>
        <v>37</v>
      </c>
      <c r="W191" s="782">
        <f ca="1">IF(AND($X$139=7,$AA$144=0,$AB$144=0),'PC40 Graphs'!$B105,IF(AND($X$139=6,$AA$143=0,$AB$143=0),'PC40 Graphs'!$D105,IF(AND($X$139=5,$AA$142=0,$AB$142=0),'PC40 Graphs'!$F105,IF(AND($X$139=4,$AA$141=0,$AB$141=0),'PC32 Graphs'!$B104,IF(AND($X$139=3,$AA$140=0,$AB$140=0),'PC32 Graphs'!$D104,IF(AND($X$139=2,$AA$139=0,$AB$139=0),'PC25 Graphs'!$B105,IF(AND($X$139=1,$AA$138=0,$AB$138=0),'PC25 Graphs'!$D105)))))))</f>
        <v>1000</v>
      </c>
      <c r="X191" s="783">
        <f ca="1">IF(AND($X$139=7,$AA$144=0,$AB$144=0),'PC40 Graphs'!L105,IF(AND($X$139=6,$AA$143=0,$AB$143=0),'PC40 Graphs'!N105,IF(AND($X$139=5,$AA$142=0,$AB$142=0),'PC40 Graphs'!P105,IF(AND($X$139=4,$AA$141=0,$AB$141=0),'PC32 Graphs'!L104,IF(AND($X$139=3,$AA$140=0,$AB$140=0),'PC32 Graphs'!N104,IF(AND($X$139=2,$AA$139=0,$AB$139=0),'PC25 Graphs'!L105,IF(AND($X$139=1,$AA$138=0,$AB$138=0),'PC25 Graphs'!N105)))))))</f>
        <v>0</v>
      </c>
      <c r="Y191" s="787">
        <f t="shared" ca="1" si="46"/>
        <v>986.66666666666674</v>
      </c>
      <c r="Z191" s="780">
        <f t="shared" ca="1" si="47"/>
        <v>805</v>
      </c>
      <c r="AA191" s="778">
        <f t="shared" ca="1" si="48"/>
        <v>37</v>
      </c>
      <c r="AB191" s="776"/>
      <c r="AD191" s="797">
        <f ca="1">Calc!B128</f>
        <v>6720</v>
      </c>
      <c r="AE191" s="797">
        <f ca="1">Calc!A128</f>
        <v>0.73026666666666717</v>
      </c>
      <c r="AG191" s="797">
        <f ca="1">Calc!B62</f>
        <v>8000</v>
      </c>
      <c r="AH191" s="797">
        <f ca="1">Calc!A62</f>
        <v>0.60683498901098565</v>
      </c>
      <c r="AQ191" s="824">
        <f t="shared" ca="1" si="38"/>
        <v>0.71853333333333391</v>
      </c>
      <c r="AR191" s="824">
        <f t="shared" ca="1" si="35"/>
        <v>7200</v>
      </c>
      <c r="AS191" s="824">
        <f t="shared" ca="1" si="36"/>
        <v>0.40992421978021643</v>
      </c>
      <c r="AT191" s="824">
        <f t="shared" ca="1" si="37"/>
        <v>8000</v>
      </c>
      <c r="AV191" s="873"/>
      <c r="AW191" s="873"/>
      <c r="AX191" s="873"/>
      <c r="AY191" s="873"/>
    </row>
    <row r="192" spans="21:51">
      <c r="U192" s="723">
        <f ca="1">IF(AND($X$139=7,$AA$144=0,$AB$144=0),'PC40 Graphs'!$B48,IF(AND($X$139=6,$AA$143=0,$AB$143=0),'PC40 Graphs'!$D48,IF(AND($X$139=5,$AA$142=0,$AB$142=0),'PC40 Graphs'!$F48,IF(AND($X$139=4,$AA$141=0,$AB$141=0),'PC32 Graphs'!$B48,IF(AND($X$139=3,$AA$140=0,$AB$140=0),'PC32 Graphs'!$D48,IF(AND($X$139=2,$AA$139=0,$AB$139=0),'PC25 Graphs'!$B49,IF(AND($X$139=1,$AA$138=0,$AB$138=0),'PC25 Graphs'!$D49)))))))</f>
        <v>986.66666666666674</v>
      </c>
      <c r="V192" s="48">
        <f ca="1">IF(AND($X$139=7,$AA$144=0,$AB$144=0),'PC40 Graphs'!$C48,IF(AND($X$139=6,$AA$143=0,$AB$143=0),'PC40 Graphs'!$E48,IF(AND($X$139=5,$AA$142=0,$AB$142=0),'PC40 Graphs'!$G48,IF(AND($X$139=4,$AA$141=0,$AB$141=0),'PC32 Graphs'!$C48,IF(AND($X$139=3,$AA$140=0,$AB$140=0),'PC32 Graphs'!$E48,IF(AND($X$139=2,$AA$139=0,$AB$139=0),'PC25 Graphs'!$C49,IF(AND($X$139=1,$AA$138=0,$AB$138=0),'PC25 Graphs'!$E49)))))))</f>
        <v>30</v>
      </c>
      <c r="W192" s="782">
        <f ca="1">IF(AND($X$139=7,$AA$144=0,$AB$144=0),'PC40 Graphs'!$B106,IF(AND($X$139=6,$AA$143=0,$AB$143=0),'PC40 Graphs'!$D106,IF(AND($X$139=5,$AA$142=0,$AB$142=0),'PC40 Graphs'!$F106,IF(AND($X$139=4,$AA$141=0,$AB$141=0),'PC32 Graphs'!$B105,IF(AND($X$139=3,$AA$140=0,$AB$140=0),'PC32 Graphs'!$D105,IF(AND($X$139=2,$AA$139=0,$AB$139=0),'PC25 Graphs'!$B106,IF(AND($X$139=1,$AA$138=0,$AB$138=0),'PC25 Graphs'!$D106)))))))</f>
        <v>1000</v>
      </c>
      <c r="X192" s="783">
        <f ca="1">IF(AND($X$139=7,$AA$144=0,$AB$144=0),'PC40 Graphs'!L106,IF(AND($X$139=6,$AA$143=0,$AB$143=0),'PC40 Graphs'!N106,IF(AND($X$139=5,$AA$142=0,$AB$142=0),'PC40 Graphs'!P106,IF(AND($X$139=4,$AA$141=0,$AB$141=0),'PC32 Graphs'!L105,IF(AND($X$139=3,$AA$140=0,$AB$140=0),'PC32 Graphs'!N105,IF(AND($X$139=2,$AA$139=0,$AB$139=0),'PC25 Graphs'!L106,IF(AND($X$139=1,$AA$138=0,$AB$138=0),'PC25 Graphs'!N106)))))))</f>
        <v>0</v>
      </c>
      <c r="Y192" s="787">
        <f t="shared" ca="1" si="46"/>
        <v>986.66666666666674</v>
      </c>
      <c r="Z192" s="780">
        <f t="shared" ca="1" si="47"/>
        <v>805</v>
      </c>
      <c r="AA192" s="778">
        <f t="shared" ca="1" si="48"/>
        <v>30</v>
      </c>
      <c r="AB192" s="776"/>
      <c r="AD192" s="797">
        <f ca="1">Calc!B129</f>
        <v>6880</v>
      </c>
      <c r="AE192" s="797">
        <f ca="1">Calc!A129</f>
        <v>0.72635555555555609</v>
      </c>
      <c r="AG192" s="797">
        <f ca="1">Calc!B63</f>
        <v>8000</v>
      </c>
      <c r="AH192" s="797">
        <f ca="1">Calc!A63</f>
        <v>0.54179446153845823</v>
      </c>
      <c r="AQ192" s="824">
        <f t="shared" ca="1" si="38"/>
        <v>0.71462222222222282</v>
      </c>
      <c r="AR192" s="824">
        <f t="shared" ca="1" si="35"/>
        <v>7360</v>
      </c>
      <c r="AS192" s="824">
        <f t="shared" ca="1" si="36"/>
        <v>0.3430945054945021</v>
      </c>
      <c r="AT192" s="824">
        <f t="shared" ca="1" si="37"/>
        <v>8000</v>
      </c>
      <c r="AV192" s="873"/>
      <c r="AW192" s="873"/>
      <c r="AX192" s="873"/>
      <c r="AY192" s="873"/>
    </row>
    <row r="193" spans="1:51">
      <c r="U193" s="723">
        <f ca="1">IF(AND($X$139=7,$AA$144=0,$AB$144=0),'PC40 Graphs'!$B49,IF(AND($X$139=6,$AA$143=0,$AB$143=0),'PC40 Graphs'!$D49,IF(AND($X$139=5,$AA$142=0,$AB$142=0),'PC40 Graphs'!$F49,IF(AND($X$139=4,$AA$141=0,$AB$141=0),'PC32 Graphs'!$B49,IF(AND($X$139=3,$AA$140=0,$AB$140=0),'PC32 Graphs'!$D49,IF(AND($X$139=2,$AA$139=0,$AB$139=0),'PC25 Graphs'!$B50,IF(AND($X$139=1,$AA$138=0,$AB$138=0),'PC25 Graphs'!$D50)))))))</f>
        <v>986.66666666666674</v>
      </c>
      <c r="V193" s="48">
        <f ca="1">IF(AND($X$139=7,$AA$144=0,$AB$144=0),'PC40 Graphs'!$C49,IF(AND($X$139=6,$AA$143=0,$AB$143=0),'PC40 Graphs'!$E49,IF(AND($X$139=5,$AA$142=0,$AB$142=0),'PC40 Graphs'!$G49,IF(AND($X$139=4,$AA$141=0,$AB$141=0),'PC32 Graphs'!$C49,IF(AND($X$139=3,$AA$140=0,$AB$140=0),'PC32 Graphs'!$E49,IF(AND($X$139=2,$AA$139=0,$AB$139=0),'PC25 Graphs'!$C50,IF(AND($X$139=1,$AA$138=0,$AB$138=0),'PC25 Graphs'!$E50)))))))</f>
        <v>24</v>
      </c>
      <c r="W193" s="782">
        <f ca="1">IF(AND($X$139=7,$AA$144=0,$AB$144=0),'PC40 Graphs'!$B107,IF(AND($X$139=6,$AA$143=0,$AB$143=0),'PC40 Graphs'!$D107,IF(AND($X$139=5,$AA$142=0,$AB$142=0),'PC40 Graphs'!$F107,IF(AND($X$139=4,$AA$141=0,$AB$141=0),'PC32 Graphs'!$B106,IF(AND($X$139=3,$AA$140=0,$AB$140=0),'PC32 Graphs'!$D106,IF(AND($X$139=2,$AA$139=0,$AB$139=0),'PC25 Graphs'!$B107,IF(AND($X$139=1,$AA$138=0,$AB$138=0),'PC25 Graphs'!$D107)))))))</f>
        <v>1000</v>
      </c>
      <c r="X193" s="783">
        <f ca="1">IF(AND($X$139=7,$AA$144=0,$AB$144=0),'PC40 Graphs'!L107,IF(AND($X$139=6,$AA$143=0,$AB$143=0),'PC40 Graphs'!N107,IF(AND($X$139=5,$AA$142=0,$AB$142=0),'PC40 Graphs'!P107,IF(AND($X$139=4,$AA$141=0,$AB$141=0),'PC32 Graphs'!L106,IF(AND($X$139=3,$AA$140=0,$AB$140=0),'PC32 Graphs'!N106,IF(AND($X$139=2,$AA$139=0,$AB$139=0),'PC25 Graphs'!L107,IF(AND($X$139=1,$AA$138=0,$AB$138=0),'PC25 Graphs'!N107)))))))</f>
        <v>0</v>
      </c>
      <c r="Y193" s="787">
        <f t="shared" ca="1" si="46"/>
        <v>986.66666666666674</v>
      </c>
      <c r="Z193" s="780">
        <f t="shared" ca="1" si="47"/>
        <v>805</v>
      </c>
      <c r="AA193" s="778">
        <f t="shared" ca="1" si="48"/>
        <v>24</v>
      </c>
      <c r="AB193" s="776"/>
      <c r="AD193" s="797">
        <f ca="1">Calc!B130</f>
        <v>7040</v>
      </c>
      <c r="AE193" s="797">
        <f ca="1">Calc!A130</f>
        <v>0.722444444444445</v>
      </c>
      <c r="AG193" s="797">
        <f ca="1">Calc!B64</f>
        <v>8000</v>
      </c>
      <c r="AH193" s="797">
        <f ca="1">Calc!A64</f>
        <v>0.47615753846153508</v>
      </c>
      <c r="AQ193" s="824">
        <f t="shared" ca="1" si="38"/>
        <v>0.71071111111111174</v>
      </c>
      <c r="AR193" s="824">
        <f t="shared" ca="1" si="35"/>
        <v>7520</v>
      </c>
      <c r="AS193" s="824">
        <f t="shared" ca="1" si="36"/>
        <v>0.27566839560439221</v>
      </c>
      <c r="AT193" s="824">
        <f t="shared" ca="1" si="37"/>
        <v>8000</v>
      </c>
      <c r="AV193" s="873"/>
      <c r="AW193" s="873"/>
      <c r="AX193" s="873"/>
      <c r="AY193" s="873"/>
    </row>
    <row r="194" spans="1:51">
      <c r="U194" s="723">
        <f ca="1">IF(AND($X$139=7,$AA$144=0,$AB$144=0),'PC40 Graphs'!$B50,IF(AND($X$139=6,$AA$143=0,$AB$143=0),'PC40 Graphs'!$D50,IF(AND($X$139=5,$AA$142=0,$AB$142=0),'PC40 Graphs'!$F50,IF(AND($X$139=4,$AA$141=0,$AB$141=0),'PC32 Graphs'!$B50,IF(AND($X$139=3,$AA$140=0,$AB$140=0),'PC32 Graphs'!$D50,IF(AND($X$139=2,$AA$139=0,$AB$139=0),'PC25 Graphs'!$B51,IF(AND($X$139=1,$AA$138=0,$AB$138=0),'PC25 Graphs'!$D51)))))))</f>
        <v>986.66666666666674</v>
      </c>
      <c r="V194" s="48">
        <f ca="1">IF(AND($X$139=7,$AA$144=0,$AB$144=0),'PC40 Graphs'!$C50,IF(AND($X$139=6,$AA$143=0,$AB$143=0),'PC40 Graphs'!$E50,IF(AND($X$139=5,$AA$142=0,$AB$142=0),'PC40 Graphs'!$G50,IF(AND($X$139=4,$AA$141=0,$AB$141=0),'PC32 Graphs'!$C50,IF(AND($X$139=3,$AA$140=0,$AB$140=0),'PC32 Graphs'!$E50,IF(AND($X$139=2,$AA$139=0,$AB$139=0),'PC25 Graphs'!$C51,IF(AND($X$139=1,$AA$138=0,$AB$138=0),'PC25 Graphs'!$E51)))))))</f>
        <v>17</v>
      </c>
      <c r="W194" s="782">
        <f ca="1">IF(AND($X$139=7,$AA$144=0,$AB$144=0),'PC40 Graphs'!$B108,IF(AND($X$139=6,$AA$143=0,$AB$143=0),'PC40 Graphs'!$D108,IF(AND($X$139=5,$AA$142=0,$AB$142=0),'PC40 Graphs'!$F108,IF(AND($X$139=4,$AA$141=0,$AB$141=0),'PC32 Graphs'!$B107,IF(AND($X$139=3,$AA$140=0,$AB$140=0),'PC32 Graphs'!$D107,IF(AND($X$139=2,$AA$139=0,$AB$139=0),'PC25 Graphs'!$B108,IF(AND($X$139=1,$AA$138=0,$AB$138=0),'PC25 Graphs'!$D108)))))))</f>
        <v>1000</v>
      </c>
      <c r="X194" s="783">
        <f ca="1">IF(AND($X$139=7,$AA$144=0,$AB$144=0),'PC40 Graphs'!L108,IF(AND($X$139=6,$AA$143=0,$AB$143=0),'PC40 Graphs'!N108,IF(AND($X$139=5,$AA$142=0,$AB$142=0),'PC40 Graphs'!P108,IF(AND($X$139=4,$AA$141=0,$AB$141=0),'PC32 Graphs'!L107,IF(AND($X$139=3,$AA$140=0,$AB$140=0),'PC32 Graphs'!N107,IF(AND($X$139=2,$AA$139=0,$AB$139=0),'PC25 Graphs'!L108,IF(AND($X$139=1,$AA$138=0,$AB$138=0),'PC25 Graphs'!N108)))))))</f>
        <v>0</v>
      </c>
      <c r="Y194" s="787">
        <f t="shared" ca="1" si="46"/>
        <v>986.66666666666674</v>
      </c>
      <c r="Z194" s="780">
        <f t="shared" ca="1" si="47"/>
        <v>805</v>
      </c>
      <c r="AA194" s="778">
        <f t="shared" ca="1" si="48"/>
        <v>17</v>
      </c>
      <c r="AB194" s="776"/>
      <c r="AD194" s="797">
        <f ca="1">Calc!B131</f>
        <v>7200</v>
      </c>
      <c r="AE194" s="797">
        <f ca="1">Calc!A131</f>
        <v>0.71853333333333391</v>
      </c>
      <c r="AG194" s="797">
        <f ca="1">Calc!B65</f>
        <v>8000</v>
      </c>
      <c r="AH194" s="797">
        <f ca="1">Calc!A65</f>
        <v>0.40992421978021643</v>
      </c>
      <c r="AQ194" s="824">
        <f t="shared" ca="1" si="38"/>
        <v>0.70680000000000065</v>
      </c>
      <c r="AR194" s="824">
        <f t="shared" ca="1" si="35"/>
        <v>7680</v>
      </c>
      <c r="AS194" s="824">
        <f t="shared" ca="1" si="36"/>
        <v>0.20764589010988635</v>
      </c>
      <c r="AT194" s="824">
        <f t="shared" ca="1" si="37"/>
        <v>8000</v>
      </c>
      <c r="AV194" s="873"/>
      <c r="AW194" s="873"/>
      <c r="AX194" s="873"/>
      <c r="AY194" s="873"/>
    </row>
    <row r="195" spans="1:51">
      <c r="U195" s="723">
        <f ca="1">IF(AND($X$139=7,$AA$144=0,$AB$144=0),'PC40 Graphs'!$B51,IF(AND($X$139=6,$AA$143=0,$AB$143=0),'PC40 Graphs'!$D51,IF(AND($X$139=5,$AA$142=0,$AB$142=0),'PC40 Graphs'!$F51,IF(AND($X$139=4,$AA$141=0,$AB$141=0),'PC32 Graphs'!$B51,IF(AND($X$139=3,$AA$140=0,$AB$140=0),'PC32 Graphs'!$D51,IF(AND($X$139=2,$AA$139=0,$AB$139=0),'PC25 Graphs'!$B52,IF(AND($X$139=1,$AA$138=0,$AB$138=0),'PC25 Graphs'!$D52)))))))</f>
        <v>986.66666666666674</v>
      </c>
      <c r="V195" s="48">
        <f ca="1">IF(AND($X$139=7,$AA$144=0,$AB$144=0),'PC40 Graphs'!$C51,IF(AND($X$139=6,$AA$143=0,$AB$143=0),'PC40 Graphs'!$E51,IF(AND($X$139=5,$AA$142=0,$AB$142=0),'PC40 Graphs'!$G51,IF(AND($X$139=4,$AA$141=0,$AB$141=0),'PC32 Graphs'!$C51,IF(AND($X$139=3,$AA$140=0,$AB$140=0),'PC32 Graphs'!$E51,IF(AND($X$139=2,$AA$139=0,$AB$139=0),'PC25 Graphs'!$C52,IF(AND($X$139=1,$AA$138=0,$AB$138=0),'PC25 Graphs'!$E52)))))))</f>
        <v>10</v>
      </c>
      <c r="W195" s="782">
        <f ca="1">IF(AND($X$139=7,$AA$144=0,$AB$144=0),'PC40 Graphs'!$B109,IF(AND($X$139=6,$AA$143=0,$AB$143=0),'PC40 Graphs'!$D109,IF(AND($X$139=5,$AA$142=0,$AB$142=0),'PC40 Graphs'!$F109,IF(AND($X$139=4,$AA$141=0,$AB$141=0),'PC32 Graphs'!$B108,IF(AND($X$139=3,$AA$140=0,$AB$140=0),'PC32 Graphs'!$D108,IF(AND($X$139=2,$AA$139=0,$AB$139=0),'PC25 Graphs'!$B109,IF(AND($X$139=1,$AA$138=0,$AB$138=0),'PC25 Graphs'!$D109)))))))</f>
        <v>1000</v>
      </c>
      <c r="X195" s="783">
        <f ca="1">IF(AND($X$139=7,$AA$144=0,$AB$144=0),'PC40 Graphs'!L109,IF(AND($X$139=6,$AA$143=0,$AB$143=0),'PC40 Graphs'!N109,IF(AND($X$139=5,$AA$142=0,$AB$142=0),'PC40 Graphs'!P109,IF(AND($X$139=4,$AA$141=0,$AB$141=0),'PC32 Graphs'!L108,IF(AND($X$139=3,$AA$140=0,$AB$140=0),'PC32 Graphs'!N108,IF(AND($X$139=2,$AA$139=0,$AB$139=0),'PC25 Graphs'!L109,IF(AND($X$139=1,$AA$138=0,$AB$138=0),'PC25 Graphs'!N109)))))))</f>
        <v>0</v>
      </c>
      <c r="Y195" s="787">
        <f t="shared" ca="1" si="46"/>
        <v>986.66666666666674</v>
      </c>
      <c r="Z195" s="780">
        <f t="shared" ca="1" si="47"/>
        <v>805</v>
      </c>
      <c r="AA195" s="778">
        <f t="shared" ca="1" si="48"/>
        <v>10</v>
      </c>
      <c r="AB195" s="776"/>
      <c r="AD195" s="797">
        <f ca="1">Calc!B132</f>
        <v>7360</v>
      </c>
      <c r="AE195" s="797">
        <f ca="1">Calc!A132</f>
        <v>0.71462222222222282</v>
      </c>
      <c r="AG195" s="797">
        <f ca="1">Calc!B66</f>
        <v>8000</v>
      </c>
      <c r="AH195" s="797">
        <f ca="1">Calc!A66</f>
        <v>0.3430945054945021</v>
      </c>
      <c r="AQ195" s="824">
        <f t="shared" ca="1" si="38"/>
        <v>0.70288888888888956</v>
      </c>
      <c r="AR195" s="824">
        <f t="shared" ca="1" si="35"/>
        <v>7840</v>
      </c>
      <c r="AS195" s="824">
        <f t="shared" ca="1" si="36"/>
        <v>0.13902698901098556</v>
      </c>
      <c r="AT195" s="824">
        <f t="shared" ca="1" si="37"/>
        <v>8000</v>
      </c>
      <c r="AV195" s="873"/>
      <c r="AW195" s="873"/>
      <c r="AX195" s="873"/>
      <c r="AY195" s="873"/>
    </row>
    <row r="196" spans="1:51">
      <c r="U196" s="723">
        <f ca="1">IF(AND($X$139=7,$AA$144=0,$AB$144=0),'PC40 Graphs'!$B52,IF(AND($X$139=6,$AA$143=0,$AB$143=0),'PC40 Graphs'!$D52,IF(AND($X$139=5,$AA$142=0,$AB$142=0),'PC40 Graphs'!$F52,IF(AND($X$139=4,$AA$141=0,$AB$141=0),'PC32 Graphs'!$B52,IF(AND($X$139=3,$AA$140=0,$AB$140=0),'PC32 Graphs'!$D52,IF(AND($X$139=2,$AA$139=0,$AB$139=0),'PC25 Graphs'!$B53,IF(AND($X$139=1,$AA$138=0,$AB$138=0),'PC25 Graphs'!$D53)))))))</f>
        <v>986.66666666666674</v>
      </c>
      <c r="V196" s="48">
        <f ca="1">IF(AND($X$139=7,$AA$144=0,$AB$144=0),'PC40 Graphs'!$C52,IF(AND($X$139=6,$AA$143=0,$AB$143=0),'PC40 Graphs'!$E52,IF(AND($X$139=5,$AA$142=0,$AB$142=0),'PC40 Graphs'!$G52,IF(AND($X$139=4,$AA$141=0,$AB$141=0),'PC32 Graphs'!$C52,IF(AND($X$139=3,$AA$140=0,$AB$140=0),'PC32 Graphs'!$E52,IF(AND($X$139=2,$AA$139=0,$AB$139=0),'PC25 Graphs'!$C53,IF(AND($X$139=1,$AA$138=0,$AB$138=0),'PC25 Graphs'!$E53)))))))</f>
        <v>4</v>
      </c>
      <c r="W196" s="782">
        <f ca="1">IF(AND($X$139=7,$AA$144=0,$AB$144=0),'PC40 Graphs'!$B110,IF(AND($X$139=6,$AA$143=0,$AB$143=0),'PC40 Graphs'!$D110,IF(AND($X$139=5,$AA$142=0,$AB$142=0),'PC40 Graphs'!$F110,IF(AND($X$139=4,$AA$141=0,$AB$141=0),'PC32 Graphs'!$B109,IF(AND($X$139=3,$AA$140=0,$AB$140=0),'PC32 Graphs'!$D109,IF(AND($X$139=2,$AA$139=0,$AB$139=0),'PC25 Graphs'!$B110,IF(AND($X$139=1,$AA$138=0,$AB$138=0),'PC25 Graphs'!$D110)))))))</f>
        <v>1000</v>
      </c>
      <c r="X196" s="783">
        <f ca="1">IF(AND($X$139=7,$AA$144=0,$AB$144=0),'PC40 Graphs'!L110,IF(AND($X$139=6,$AA$143=0,$AB$143=0),'PC40 Graphs'!N110,IF(AND($X$139=5,$AA$142=0,$AB$142=0),'PC40 Graphs'!P110,IF(AND($X$139=4,$AA$141=0,$AB$141=0),'PC32 Graphs'!L109,IF(AND($X$139=3,$AA$140=0,$AB$140=0),'PC32 Graphs'!N109,IF(AND($X$139=2,$AA$139=0,$AB$139=0),'PC25 Graphs'!L110,IF(AND($X$139=1,$AA$138=0,$AB$138=0),'PC25 Graphs'!N110)))))))</f>
        <v>0</v>
      </c>
      <c r="Y196" s="787">
        <f t="shared" ca="1" si="46"/>
        <v>986.66666666666674</v>
      </c>
      <c r="Z196" s="780">
        <f t="shared" ca="1" si="47"/>
        <v>805</v>
      </c>
      <c r="AA196" s="778">
        <f t="shared" ca="1" si="48"/>
        <v>4</v>
      </c>
      <c r="AB196" s="776"/>
      <c r="AD196" s="797">
        <f ca="1">Calc!B133</f>
        <v>7520</v>
      </c>
      <c r="AE196" s="797">
        <f ca="1">Calc!A133</f>
        <v>0.71071111111111174</v>
      </c>
      <c r="AG196" s="797">
        <f ca="1">Calc!B67</f>
        <v>8000</v>
      </c>
      <c r="AH196" s="797">
        <f ca="1">Calc!A67</f>
        <v>0.27566839560439221</v>
      </c>
      <c r="AQ196" s="824">
        <f t="shared" ca="1" si="38"/>
        <v>0.7</v>
      </c>
      <c r="AR196" s="824">
        <f t="shared" ca="1" si="35"/>
        <v>8000</v>
      </c>
      <c r="AS196" s="824">
        <f t="shared" ca="1" si="36"/>
        <v>6.9811692307688827E-2</v>
      </c>
      <c r="AT196" s="824">
        <f t="shared" ca="1" si="37"/>
        <v>8000</v>
      </c>
      <c r="AV196" s="873"/>
      <c r="AW196" s="873"/>
      <c r="AX196" s="873"/>
      <c r="AY196" s="873"/>
    </row>
    <row r="197" spans="1:51">
      <c r="U197" s="723">
        <f ca="1">IF(AND($X$139=7,$AA$144=0,$AB$144=0),'PC40 Graphs'!$B53,IF(AND($X$139=6,$AA$143=0,$AB$143=0),'PC40 Graphs'!$D53,IF(AND($X$139=5,$AA$142=0,$AB$142=0),'PC40 Graphs'!$F53,IF(AND($X$139=4,$AA$141=0,$AB$141=0),'PC32 Graphs'!$B53,IF(AND($X$139=3,$AA$140=0,$AB$140=0),'PC32 Graphs'!$D53,IF(AND($X$139=2,$AA$139=0,$AB$139=0),'PC25 Graphs'!$B54,IF(AND($X$139=1,$AA$138=0,$AB$138=0),'PC25 Graphs'!$D54)))))))</f>
        <v>986.66666666666674</v>
      </c>
      <c r="V197" s="48">
        <f ca="1">IF(AND($X$139=7,$AA$144=0,$AB$144=0),'PC40 Graphs'!$C53,IF(AND($X$139=6,$AA$143=0,$AB$143=0),'PC40 Graphs'!$E53,IF(AND($X$139=5,$AA$142=0,$AB$142=0),'PC40 Graphs'!$G53,IF(AND($X$139=4,$AA$141=0,$AB$141=0),'PC32 Graphs'!$C53,IF(AND($X$139=3,$AA$140=0,$AB$140=0),'PC32 Graphs'!$E53,IF(AND($X$139=2,$AA$139=0,$AB$139=0),'PC25 Graphs'!$C54,IF(AND($X$139=1,$AA$138=0,$AB$138=0),'PC25 Graphs'!$E54)))))))</f>
        <v>0</v>
      </c>
      <c r="W197" s="782">
        <f ca="1">IF(AND($X$139=7,$AA$144=0,$AB$144=0),'PC40 Graphs'!$B111,IF(AND($X$139=6,$AA$143=0,$AB$143=0),'PC40 Graphs'!$D111,IF(AND($X$139=5,$AA$142=0,$AB$142=0),'PC40 Graphs'!$F111,IF(AND($X$139=4,$AA$141=0,$AB$141=0),'PC32 Graphs'!$B110,IF(AND($X$139=3,$AA$140=0,$AB$140=0),'PC32 Graphs'!$D110,IF(AND($X$139=2,$AA$139=0,$AB$139=0),'PC25 Graphs'!$B111,IF(AND($X$139=1,$AA$138=0,$AB$138=0),'PC25 Graphs'!$D111)))))))</f>
        <v>1000</v>
      </c>
      <c r="X197" s="783">
        <f ca="1">IF(AND($X$139=7,$AA$144=0,$AB$144=0),'PC40 Graphs'!L111,IF(AND($X$139=6,$AA$143=0,$AB$143=0),'PC40 Graphs'!N111,IF(AND($X$139=5,$AA$142=0,$AB$142=0),'PC40 Graphs'!P111,IF(AND($X$139=4,$AA$141=0,$AB$141=0),'PC32 Graphs'!L110,IF(AND($X$139=3,$AA$140=0,$AB$140=0),'PC32 Graphs'!N110,IF(AND($X$139=2,$AA$139=0,$AB$139=0),'PC25 Graphs'!L111,IF(AND($X$139=1,$AA$138=0,$AB$138=0),'PC25 Graphs'!N111)))))))</f>
        <v>0</v>
      </c>
      <c r="Y197" s="787">
        <f t="shared" ca="1" si="46"/>
        <v>986.66666666666674</v>
      </c>
      <c r="Z197" s="780">
        <f t="shared" ca="1" si="47"/>
        <v>805</v>
      </c>
      <c r="AA197" s="778">
        <f t="shared" ca="1" si="48"/>
        <v>0</v>
      </c>
      <c r="AB197" s="776"/>
      <c r="AD197" s="797">
        <f ca="1">Calc!B134</f>
        <v>7680</v>
      </c>
      <c r="AE197" s="797">
        <f ca="1">Calc!A134</f>
        <v>0.70680000000000065</v>
      </c>
      <c r="AG197" s="797">
        <f ca="1">Calc!B68</f>
        <v>8000</v>
      </c>
      <c r="AH197" s="797">
        <f ca="1">Calc!A68</f>
        <v>0.20764589010988635</v>
      </c>
      <c r="AQ197" s="824">
        <f ca="1">IF($AK$139=2,U200,AQ196)</f>
        <v>0.7</v>
      </c>
      <c r="AR197" s="824">
        <f ca="1">IF($AK$139=2,AA200,AR196)</f>
        <v>8000</v>
      </c>
      <c r="AS197" s="824">
        <f t="shared" ca="1" si="36"/>
        <v>0</v>
      </c>
      <c r="AT197" s="824">
        <f t="shared" ca="1" si="37"/>
        <v>8000</v>
      </c>
      <c r="AV197" s="873"/>
      <c r="AW197" s="873"/>
      <c r="AX197" s="873"/>
      <c r="AY197" s="873"/>
    </row>
    <row r="198" spans="1:51">
      <c r="U198" s="723">
        <f ca="1">IF(AND($X$139=7,$AA$144=0,$AB$144=0),'PC40 Graphs'!$B54,IF(AND($X$139=6,$AA$143=0,$AB$143=0),'PC40 Graphs'!$D54,IF(AND($X$139=5,$AA$142=0,$AB$142=0),'PC40 Graphs'!$F54,IF(AND($X$139=4,$AA$141=0,$AB$141=0),'PC32 Graphs'!$B54,IF(AND($X$139=3,$AA$140=0,$AB$140=0),'PC32 Graphs'!$D54,IF(AND($X$139=2,$AA$139=0,$AB$139=0),'PC25 Graphs'!$B55,IF(AND($X$139=1,$AA$138=0,$AB$138=0),'PC25 Graphs'!$D55)))))))</f>
        <v>986.66666666666674</v>
      </c>
      <c r="V198" s="48">
        <f ca="1">IF(AND($X$139=7,$AA$144=0,$AB$144=0),'PC40 Graphs'!$C54,IF(AND($X$139=6,$AA$143=0,$AB$143=0),'PC40 Graphs'!$E54,IF(AND($X$139=5,$AA$142=0,$AB$142=0),'PC40 Graphs'!$G54,IF(AND($X$139=4,$AA$141=0,$AB$141=0),'PC32 Graphs'!$C54,IF(AND($X$139=3,$AA$140=0,$AB$140=0),'PC32 Graphs'!$E54,IF(AND($X$139=2,$AA$139=0,$AB$139=0),'PC25 Graphs'!$C55,IF(AND($X$139=1,$AA$138=0,$AB$138=0),'PC25 Graphs'!$E55)))))))</f>
        <v>0</v>
      </c>
      <c r="W198" s="782">
        <f ca="1">IF(AND($X$139=7,$AA$144=0,$AB$144=0),'PC40 Graphs'!$B112,IF(AND($X$139=6,$AA$143=0,$AB$143=0),'PC40 Graphs'!$D112,IF(AND($X$139=5,$AA$142=0,$AB$142=0),'PC40 Graphs'!$F112,IF(AND($X$139=4,$AA$141=0,$AB$141=0),'PC32 Graphs'!$B111,IF(AND($X$139=3,$AA$140=0,$AB$140=0),'PC32 Graphs'!$D111,IF(AND($X$139=2,$AA$139=0,$AB$139=0),'PC25 Graphs'!$B112,IF(AND($X$139=1,$AA$138=0,$AB$138=0),'PC25 Graphs'!$D112)))))))</f>
        <v>1000</v>
      </c>
      <c r="X198" s="783">
        <f ca="1">IF(AND($X$139=7,$AA$144=0,$AB$144=0),'PC40 Graphs'!L112,IF(AND($X$139=6,$AA$143=0,$AB$143=0),'PC40 Graphs'!N112,IF(AND($X$139=5,$AA$142=0,$AB$142=0),'PC40 Graphs'!P112,IF(AND($X$139=4,$AA$141=0,$AB$141=0),'PC32 Graphs'!L111,IF(AND($X$139=3,$AA$140=0,$AB$140=0),'PC32 Graphs'!N111,IF(AND($X$139=2,$AA$139=0,$AB$139=0),'PC25 Graphs'!L112,IF(AND($X$139=1,$AA$138=0,$AB$138=0),'PC25 Graphs'!N112)))))))</f>
        <v>0</v>
      </c>
      <c r="Y198" s="787">
        <f t="shared" ca="1" si="46"/>
        <v>986.66666666666674</v>
      </c>
      <c r="Z198" s="780">
        <f t="shared" ca="1" si="47"/>
        <v>805</v>
      </c>
      <c r="AA198" s="778">
        <f t="shared" ca="1" si="48"/>
        <v>0</v>
      </c>
      <c r="AB198" s="776"/>
      <c r="AD198" s="797">
        <f ca="1">Calc!B135</f>
        <v>7840</v>
      </c>
      <c r="AE198" s="797">
        <f ca="1">Calc!A135</f>
        <v>0.70288888888888956</v>
      </c>
      <c r="AG198" s="797">
        <f ca="1">Calc!B69</f>
        <v>8000</v>
      </c>
      <c r="AH198" s="797">
        <f ca="1">Calc!A69</f>
        <v>0.13902698901098556</v>
      </c>
      <c r="AQ198" s="824"/>
      <c r="AS198" s="771"/>
    </row>
    <row r="199" spans="1:51">
      <c r="U199" s="723">
        <f ca="1">IF(AND($X$139=7,$AA$144=0,$AB$144=0),'PC40 Graphs'!$B55,IF(AND($X$139=6,$AA$143=0,$AB$143=0),'PC40 Graphs'!$D55,IF(AND($X$139=5,$AA$142=0,$AB$142=0),'PC40 Graphs'!$F55,IF(AND($X$139=4,$AA$141=0,$AB$141=0),'PC32 Graphs'!$B55,IF(AND($X$139=3,$AA$140=0,$AB$140=0),'PC32 Graphs'!$D55,IF(AND($X$139=2,$AA$139=0,$AB$139=0),'PC25 Graphs'!$B56,IF(AND($X$139=1,$AA$138=0,$AB$138=0),'PC25 Graphs'!$D56)))))))</f>
        <v>986.66666666666674</v>
      </c>
      <c r="V199" s="48">
        <f ca="1">IF(AND($X$139=7,$AA$144=0,$AB$144=0),'PC40 Graphs'!$C55,IF(AND($X$139=6,$AA$143=0,$AB$143=0),'PC40 Graphs'!$E55,IF(AND($X$139=5,$AA$142=0,$AB$142=0),'PC40 Graphs'!$G55,IF(AND($X$139=4,$AA$141=0,$AB$141=0),'PC32 Graphs'!$C55,IF(AND($X$139=3,$AA$140=0,$AB$140=0),'PC32 Graphs'!$E55,IF(AND($X$139=2,$AA$139=0,$AB$139=0),'PC25 Graphs'!$C56,IF(AND($X$139=1,$AA$138=0,$AB$138=0),'PC25 Graphs'!$E56)))))))</f>
        <v>0</v>
      </c>
      <c r="W199" s="782">
        <f ca="1">IF(AND($X$139=7,$AA$144=0,$AB$144=0),'PC40 Graphs'!$B113,IF(AND($X$139=6,$AA$143=0,$AB$143=0),'PC40 Graphs'!$D113,IF(AND($X$139=5,$AA$142=0,$AB$142=0),'PC40 Graphs'!$F113,IF(AND($X$139=4,$AA$141=0,$AB$141=0),'PC32 Graphs'!$B112,IF(AND($X$139=3,$AA$140=0,$AB$140=0),'PC32 Graphs'!$D112,IF(AND($X$139=2,$AA$139=0,$AB$139=0),'PC25 Graphs'!$B113,IF(AND($X$139=1,$AA$138=0,$AB$138=0),'PC25 Graphs'!$D113)))))))</f>
        <v>1000</v>
      </c>
      <c r="X199" s="783">
        <f ca="1">IF(AND($X$139=7,$AA$144=0,$AB$144=0),'PC40 Graphs'!L113,IF(AND($X$139=6,$AA$143=0,$AB$143=0),'PC40 Graphs'!N113,IF(AND($X$139=5,$AA$142=0,$AB$142=0),'PC40 Graphs'!P113,IF(AND($X$139=4,$AA$141=0,$AB$141=0),'PC32 Graphs'!L112,IF(AND($X$139=3,$AA$140=0,$AB$140=0),'PC32 Graphs'!N112,IF(AND($X$139=2,$AA$139=0,$AB$139=0),'PC25 Graphs'!L113,IF(AND($X$139=1,$AA$138=0,$AB$138=0),'PC25 Graphs'!N113)))))))</f>
        <v>0</v>
      </c>
      <c r="Y199" s="787">
        <f t="shared" ca="1" si="46"/>
        <v>986.66666666666674</v>
      </c>
      <c r="Z199" s="780">
        <f t="shared" ca="1" si="47"/>
        <v>805</v>
      </c>
      <c r="AA199" s="778">
        <f t="shared" ca="1" si="48"/>
        <v>0</v>
      </c>
      <c r="AB199" s="776"/>
      <c r="AD199" s="797">
        <f ca="1">Calc!B136</f>
        <v>8000</v>
      </c>
      <c r="AE199" s="797">
        <f ca="1">Calc!A136</f>
        <v>0.7</v>
      </c>
      <c r="AG199" s="797">
        <f ca="1">Calc!B70</f>
        <v>8000</v>
      </c>
      <c r="AH199" s="797">
        <f ca="1">Calc!A70</f>
        <v>6.9811692307688827E-2</v>
      </c>
      <c r="AQ199" s="824"/>
      <c r="AS199" s="771"/>
    </row>
    <row r="200" spans="1:51">
      <c r="U200" s="723">
        <f ca="1">IF(AND($X$139=7,$AA$144=0,$AB$144=0),'PC40 Graphs'!$B56,IF(AND($X$139=6,$AA$143=0,$AB$143=0),'PC40 Graphs'!$D56,IF(AND($X$139=5,$AA$142=0,$AB$142=0),'PC40 Graphs'!$F56,IF(AND($X$139=4,$AA$141=0,$AB$141=0),'PC32 Graphs'!$B56,IF(AND($X$139=3,$AA$140=0,$AB$140=0),'PC32 Graphs'!$D56,IF(AND($X$139=2,$AA$139=0,$AB$139=0),'PC25 Graphs'!$B57,IF(AND($X$139=1,$AA$138=0,$AB$138=0),'PC25 Graphs'!$D57)))))))</f>
        <v>986.66666666666674</v>
      </c>
      <c r="V200" s="48">
        <f ca="1">IF(AND($X$139=7,$AA$144=0,$AB$144=0),'PC40 Graphs'!$C56,IF(AND($X$139=6,$AA$143=0,$AB$143=0),'PC40 Graphs'!$E56,IF(AND($X$139=5,$AA$142=0,$AB$142=0),'PC40 Graphs'!$G56,IF(AND($X$139=4,$AA$141=0,$AB$141=0),'PC32 Graphs'!$C56,IF(AND($X$139=3,$AA$140=0,$AB$140=0),'PC32 Graphs'!$E56,IF(AND($X$139=2,$AA$139=0,$AB$139=0),'PC25 Graphs'!$C57,IF(AND($X$139=1,$AA$138=0,$AB$138=0),'PC25 Graphs'!$E57)))))))</f>
        <v>0</v>
      </c>
      <c r="W200" s="782">
        <f ca="1">IF(AND($X$139=7,$AA$144=0,$AB$144=0),'PC40 Graphs'!$B114,IF(AND($X$139=6,$AA$143=0,$AB$143=0),'PC40 Graphs'!$D114,IF(AND($X$139=5,$AA$142=0,$AB$142=0),'PC40 Graphs'!$F114,IF(AND($X$139=4,$AA$141=0,$AB$141=0),'PC32 Graphs'!$B113,IF(AND($X$139=3,$AA$140=0,$AB$140=0),'PC32 Graphs'!$D113,IF(AND($X$139=2,$AA$139=0,$AB$139=0),'PC25 Graphs'!$B114,IF(AND($X$139=1,$AA$138=0,$AB$138=0),'PC25 Graphs'!$D114)))))))</f>
        <v>1000</v>
      </c>
      <c r="X200" s="783">
        <f ca="1">IF(AND($X$139=7,$AA$144=0,$AB$144=0),'PC40 Graphs'!L114,IF(AND($X$139=6,$AA$143=0,$AB$143=0),'PC40 Graphs'!N114,IF(AND($X$139=5,$AA$142=0,$AB$142=0),'PC40 Graphs'!P114,IF(AND($X$139=4,$AA$141=0,$AB$141=0),'PC32 Graphs'!L113,IF(AND($X$139=3,$AA$140=0,$AB$140=0),'PC32 Graphs'!N113,IF(AND($X$139=2,$AA$139=0,$AB$139=0),'PC25 Graphs'!L114,IF(AND($X$139=1,$AA$138=0,$AB$138=0),'PC25 Graphs'!N114)))))))</f>
        <v>0</v>
      </c>
      <c r="Y200" s="787">
        <f t="shared" ca="1" si="46"/>
        <v>986.66666666666674</v>
      </c>
      <c r="Z200" s="780">
        <f t="shared" ca="1" si="47"/>
        <v>805</v>
      </c>
      <c r="AA200" s="778">
        <f t="shared" ca="1" si="48"/>
        <v>0</v>
      </c>
      <c r="AB200" s="776"/>
      <c r="AD200" s="809"/>
      <c r="AE200" s="809"/>
      <c r="AG200" s="797">
        <f ca="1">Calc!B71</f>
        <v>8000</v>
      </c>
      <c r="AH200" s="797">
        <f ca="1">Calc!A71</f>
        <v>0</v>
      </c>
      <c r="AQ200" s="824"/>
      <c r="AS200" s="771"/>
    </row>
    <row r="201" spans="1:51">
      <c r="U201" s="51"/>
      <c r="Y201" s="776"/>
      <c r="Z201" s="776"/>
      <c r="AB201" s="776"/>
      <c r="AS201" s="771"/>
    </row>
    <row r="202" spans="1:51">
      <c r="AS202" s="771"/>
    </row>
    <row r="203" spans="1:51">
      <c r="A203" s="49"/>
      <c r="AS203" s="771"/>
    </row>
    <row r="204" spans="1:51">
      <c r="B204" s="34"/>
      <c r="C204" s="34"/>
      <c r="D204" s="34"/>
      <c r="E204" s="34"/>
      <c r="F204" s="34"/>
      <c r="G204" s="34"/>
      <c r="H204" s="34"/>
      <c r="I204" s="116"/>
      <c r="K204" s="120"/>
      <c r="L204" s="120"/>
      <c r="M204" s="343"/>
      <c r="N204" s="344" t="s">
        <v>183</v>
      </c>
      <c r="O204" s="344" t="s">
        <v>375</v>
      </c>
      <c r="P204" s="344"/>
      <c r="Q204" s="251" t="s">
        <v>223</v>
      </c>
      <c r="R204" s="252" t="s">
        <v>209</v>
      </c>
      <c r="S204" s="120"/>
      <c r="T204" s="120"/>
      <c r="AS204" s="771"/>
    </row>
    <row r="205" spans="1:51">
      <c r="B205" s="34"/>
      <c r="C205" s="34"/>
      <c r="D205" s="34"/>
      <c r="E205" s="34"/>
      <c r="F205" s="34"/>
      <c r="G205" s="34"/>
      <c r="H205" s="34"/>
      <c r="I205" s="57"/>
      <c r="M205" s="259" t="s">
        <v>368</v>
      </c>
      <c r="N205" s="260" t="str">
        <f ca="1">LOOKUP(R205,R209:R246,N209:N246)</f>
        <v>004</v>
      </c>
      <c r="O205" s="262">
        <f ca="1">I209</f>
        <v>240</v>
      </c>
      <c r="P205" s="245"/>
      <c r="Q205" s="100" t="str">
        <f ca="1">LOOKUP(B209,Data!$R$209:$R$246,Data!$Q$209:$Q$246)</f>
        <v>AKM22E-ANCNR-00</v>
      </c>
      <c r="R205" s="261">
        <f ca="1">B209</f>
        <v>5</v>
      </c>
      <c r="S205" s="20"/>
      <c r="T205" s="20"/>
      <c r="U205" s="20"/>
      <c r="V205" s="20"/>
      <c r="W205" s="20"/>
      <c r="AO205"/>
    </row>
    <row r="206" spans="1:51">
      <c r="I206" s="57"/>
      <c r="L206" s="1003" t="s">
        <v>208</v>
      </c>
      <c r="M206" s="1007"/>
      <c r="N206" s="1007"/>
      <c r="O206" s="1007"/>
      <c r="P206" s="1007"/>
      <c r="Q206" s="250" t="s">
        <v>219</v>
      </c>
      <c r="R206" s="249" t="s">
        <v>374</v>
      </c>
      <c r="AJ206" s="34"/>
      <c r="AO206"/>
    </row>
    <row r="207" spans="1:51">
      <c r="D207" s="28" t="s">
        <v>406</v>
      </c>
      <c r="E207" s="28" t="s">
        <v>407</v>
      </c>
      <c r="F207" s="28" t="s">
        <v>408</v>
      </c>
      <c r="G207" s="28" t="str">
        <f ca="1">IF(OR($J$150=1,$J$150=4),"Rated speed [rpm]",IF($J$150=2,"Max Speed [rpm]"))</f>
        <v>Rated speed [rpm]</v>
      </c>
      <c r="H207" s="28" t="s">
        <v>410</v>
      </c>
      <c r="I207" s="194" t="s">
        <v>339</v>
      </c>
      <c r="K207" t="s">
        <v>375</v>
      </c>
      <c r="L207" s="204" t="s">
        <v>165</v>
      </c>
      <c r="M207" s="206" t="s">
        <v>210</v>
      </c>
      <c r="N207" s="206" t="s">
        <v>183</v>
      </c>
      <c r="O207" s="206" t="s">
        <v>369</v>
      </c>
      <c r="P207" s="206" t="s">
        <v>221</v>
      </c>
      <c r="Q207" s="206" t="s">
        <v>223</v>
      </c>
      <c r="R207" s="205" t="s">
        <v>209</v>
      </c>
      <c r="S207" s="256" t="s">
        <v>370</v>
      </c>
      <c r="T207" s="257"/>
      <c r="U207" s="256" t="s">
        <v>372</v>
      </c>
      <c r="V207" s="257"/>
      <c r="W207" s="256" t="s">
        <v>373</v>
      </c>
      <c r="X207" s="257"/>
      <c r="AO207"/>
    </row>
    <row r="208" spans="1:51">
      <c r="B208" t="s">
        <v>147</v>
      </c>
      <c r="D208" s="28" t="s">
        <v>7</v>
      </c>
      <c r="E208" s="28" t="s">
        <v>7</v>
      </c>
      <c r="F208" s="28" t="s">
        <v>7</v>
      </c>
      <c r="G208" s="28" t="s">
        <v>17</v>
      </c>
      <c r="H208" s="28" t="s">
        <v>80</v>
      </c>
      <c r="I208" s="127" t="s">
        <v>340</v>
      </c>
      <c r="L208" s="213"/>
      <c r="S208" s="237" t="s">
        <v>371</v>
      </c>
      <c r="T208" s="237" t="s">
        <v>156</v>
      </c>
      <c r="U208" s="237" t="s">
        <v>371</v>
      </c>
      <c r="V208" s="237" t="s">
        <v>156</v>
      </c>
      <c r="W208" s="237" t="s">
        <v>371</v>
      </c>
      <c r="X208" s="237" t="s">
        <v>156</v>
      </c>
      <c r="AO208"/>
    </row>
    <row r="209" spans="1:41">
      <c r="B209" s="248">
        <f ca="1">IF($J$170=2,VLOOKUP($C$150,$A$210:$B$223,2,FALSE),IF($J$170=1,VLOOKUP($C$150,$A$225:$B$238,2,FALSE),IF($J$170=3,VLOOKUP($C$150,$A$240:$B$249,2,FALSE))))</f>
        <v>5</v>
      </c>
      <c r="C209" s="46" t="str">
        <f ca="1">VLOOKUP($B$209,$B$210:$I$249,2)</f>
        <v>AKM22E</v>
      </c>
      <c r="D209" s="8">
        <f ca="1">VLOOKUP($B$209,$B$210:$I$249,3)</f>
        <v>0.87</v>
      </c>
      <c r="E209" s="8">
        <f ca="1">VLOOKUP($B$209,$B$210:$I$249,4)</f>
        <v>2.76</v>
      </c>
      <c r="F209" s="8">
        <f ca="1">VLOOKUP($B$209,$B$210:$I$249,5)</f>
        <v>0.7</v>
      </c>
      <c r="G209" s="8">
        <f ca="1">VLOOKUP($B$209,$B$210:$I$249,6)</f>
        <v>8000</v>
      </c>
      <c r="H209" s="8">
        <f ca="1">VLOOKUP($B$209,$B$210:$I$249,7)</f>
        <v>0.16</v>
      </c>
      <c r="I209" s="138">
        <f ca="1">VLOOKUP($B$209,$B$210:$I$249,8)</f>
        <v>240</v>
      </c>
      <c r="K209">
        <v>240</v>
      </c>
      <c r="L209" s="207" t="s">
        <v>81</v>
      </c>
      <c r="M209" s="82" t="s">
        <v>202</v>
      </c>
      <c r="N209" s="82" t="s">
        <v>201</v>
      </c>
      <c r="O209" s="73" t="s">
        <v>211</v>
      </c>
      <c r="P209" s="212" t="s">
        <v>224</v>
      </c>
      <c r="Q209" s="82" t="str">
        <f t="shared" ref="Q209:Q246" ca="1" si="49">CONCATENATE(L209,P209,$K$141,$O$141)</f>
        <v>AKM11B-ANCNR-00</v>
      </c>
      <c r="R209" s="208">
        <v>1</v>
      </c>
      <c r="S209" s="238">
        <v>1</v>
      </c>
      <c r="T209" s="238">
        <v>1</v>
      </c>
      <c r="U209" s="238">
        <v>1</v>
      </c>
      <c r="V209" s="238">
        <v>1</v>
      </c>
      <c r="W209" s="208">
        <v>1</v>
      </c>
      <c r="X209" s="208">
        <v>1</v>
      </c>
      <c r="AO209"/>
    </row>
    <row r="210" spans="1:41">
      <c r="A210" t="str">
        <f t="shared" ref="A210:A223" ca="1" si="50">IF($J$150=1,C210," xx")</f>
        <v>AKM11B</v>
      </c>
      <c r="B210" s="28">
        <v>1</v>
      </c>
      <c r="C210" t="s">
        <v>81</v>
      </c>
      <c r="D210" s="28">
        <v>0.183</v>
      </c>
      <c r="E210" s="28">
        <v>0.60899999999999999</v>
      </c>
      <c r="F210" s="28">
        <v>0.16700000000000001</v>
      </c>
      <c r="G210" s="28">
        <v>8000</v>
      </c>
      <c r="H210" s="28">
        <v>1.7000000000000001E-2</v>
      </c>
      <c r="I210" s="136">
        <v>240</v>
      </c>
      <c r="K210">
        <v>240</v>
      </c>
      <c r="L210" s="108" t="s">
        <v>82</v>
      </c>
      <c r="M210" s="36" t="s">
        <v>202</v>
      </c>
      <c r="N210" s="36" t="s">
        <v>201</v>
      </c>
      <c r="O210" s="34" t="s">
        <v>211</v>
      </c>
      <c r="P210" s="127" t="s">
        <v>224</v>
      </c>
      <c r="Q210" s="36" t="str">
        <f t="shared" ca="1" si="49"/>
        <v>AKM12C-ANCNR-00</v>
      </c>
      <c r="R210" s="83">
        <v>2</v>
      </c>
      <c r="S210" s="239">
        <v>1</v>
      </c>
      <c r="T210" s="239">
        <v>1</v>
      </c>
      <c r="U210" s="239">
        <v>1</v>
      </c>
      <c r="V210" s="239">
        <v>1</v>
      </c>
      <c r="W210" s="83">
        <v>1</v>
      </c>
      <c r="X210" s="83">
        <v>1</v>
      </c>
      <c r="Y210" s="244"/>
      <c r="AO210"/>
    </row>
    <row r="211" spans="1:41">
      <c r="A211" t="str">
        <f t="shared" ca="1" si="50"/>
        <v>AKM12C</v>
      </c>
      <c r="B211" s="28">
        <v>2</v>
      </c>
      <c r="C211" s="244" t="s">
        <v>82</v>
      </c>
      <c r="D211" s="28">
        <v>0.31</v>
      </c>
      <c r="E211" s="28">
        <v>1.08</v>
      </c>
      <c r="F211" s="28">
        <v>0.27900000000000003</v>
      </c>
      <c r="G211" s="28">
        <v>8000</v>
      </c>
      <c r="H211" s="28">
        <v>3.1E-2</v>
      </c>
      <c r="I211" s="136">
        <v>240</v>
      </c>
      <c r="K211" s="244">
        <v>240</v>
      </c>
      <c r="L211" s="108" t="s">
        <v>83</v>
      </c>
      <c r="M211" s="36" t="s">
        <v>202</v>
      </c>
      <c r="N211" s="36" t="s">
        <v>201</v>
      </c>
      <c r="O211" s="34" t="s">
        <v>211</v>
      </c>
      <c r="P211" s="127" t="s">
        <v>224</v>
      </c>
      <c r="Q211" s="36" t="str">
        <f t="shared" ca="1" si="49"/>
        <v>AKM13C-ANCNR-00</v>
      </c>
      <c r="R211" s="83">
        <v>3</v>
      </c>
      <c r="S211" s="239">
        <v>1</v>
      </c>
      <c r="T211" s="239">
        <v>1</v>
      </c>
      <c r="U211" s="239">
        <v>1</v>
      </c>
      <c r="V211" s="239">
        <v>1</v>
      </c>
      <c r="W211" s="83">
        <v>1</v>
      </c>
      <c r="X211" s="83">
        <v>1</v>
      </c>
      <c r="AO211"/>
    </row>
    <row r="212" spans="1:41">
      <c r="A212" t="str">
        <f t="shared" ca="1" si="50"/>
        <v>AKM13C</v>
      </c>
      <c r="B212" s="28">
        <v>3</v>
      </c>
      <c r="C212" s="244" t="s">
        <v>83</v>
      </c>
      <c r="D212" s="28">
        <v>0.40899999999999997</v>
      </c>
      <c r="E212" s="28">
        <v>1.46</v>
      </c>
      <c r="F212" s="28">
        <v>0.36399999999999999</v>
      </c>
      <c r="G212" s="193">
        <v>8000</v>
      </c>
      <c r="H212" s="28">
        <v>4.4999999999999998E-2</v>
      </c>
      <c r="I212" s="183">
        <v>240</v>
      </c>
      <c r="K212" s="244">
        <v>240</v>
      </c>
      <c r="L212" s="215" t="s">
        <v>84</v>
      </c>
      <c r="M212" s="216" t="s">
        <v>203</v>
      </c>
      <c r="N212" s="216" t="s">
        <v>205</v>
      </c>
      <c r="O212" s="157" t="s">
        <v>211</v>
      </c>
      <c r="P212" s="217" t="s">
        <v>224</v>
      </c>
      <c r="Q212" s="216" t="str">
        <f t="shared" ca="1" si="49"/>
        <v>AKM21C-ANCNR-00</v>
      </c>
      <c r="R212" s="218">
        <v>4</v>
      </c>
      <c r="S212" s="240">
        <v>1</v>
      </c>
      <c r="T212" s="240">
        <v>1</v>
      </c>
      <c r="U212" s="240">
        <v>1</v>
      </c>
      <c r="V212" s="240">
        <v>1</v>
      </c>
      <c r="W212" s="218">
        <v>1</v>
      </c>
      <c r="X212" s="218">
        <v>1</v>
      </c>
      <c r="AO212"/>
    </row>
    <row r="213" spans="1:41">
      <c r="A213" t="str">
        <f t="shared" ca="1" si="50"/>
        <v>AKM21C</v>
      </c>
      <c r="B213" s="28">
        <v>4</v>
      </c>
      <c r="C213" s="244" t="s">
        <v>84</v>
      </c>
      <c r="D213" s="28">
        <v>0.48</v>
      </c>
      <c r="E213" s="193">
        <v>1.47</v>
      </c>
      <c r="F213" s="28">
        <v>0.39</v>
      </c>
      <c r="G213" s="193">
        <v>8000</v>
      </c>
      <c r="H213" s="28">
        <v>0.11</v>
      </c>
      <c r="I213" s="183">
        <v>240</v>
      </c>
      <c r="K213" s="244">
        <v>240</v>
      </c>
      <c r="L213" s="215" t="s">
        <v>85</v>
      </c>
      <c r="M213" s="216" t="s">
        <v>203</v>
      </c>
      <c r="N213" s="216" t="s">
        <v>205</v>
      </c>
      <c r="O213" s="157" t="s">
        <v>211</v>
      </c>
      <c r="P213" s="217" t="s">
        <v>224</v>
      </c>
      <c r="Q213" s="216" t="str">
        <f t="shared" ca="1" si="49"/>
        <v>AKM22E-ANCNR-00</v>
      </c>
      <c r="R213" s="218">
        <v>5</v>
      </c>
      <c r="S213" s="240">
        <v>1</v>
      </c>
      <c r="T213" s="240">
        <v>1</v>
      </c>
      <c r="U213" s="240">
        <v>1</v>
      </c>
      <c r="V213" s="240">
        <v>1</v>
      </c>
      <c r="W213" s="218">
        <v>1</v>
      </c>
      <c r="X213" s="218">
        <v>1</v>
      </c>
      <c r="AO213"/>
    </row>
    <row r="214" spans="1:41">
      <c r="A214" t="str">
        <f t="shared" ca="1" si="50"/>
        <v>AKM22E</v>
      </c>
      <c r="B214" s="28">
        <v>5</v>
      </c>
      <c r="C214" s="244" t="s">
        <v>85</v>
      </c>
      <c r="D214" s="28">
        <v>0.87</v>
      </c>
      <c r="E214" s="193">
        <v>2.76</v>
      </c>
      <c r="F214" s="28">
        <v>0.7</v>
      </c>
      <c r="G214" s="193">
        <v>8000</v>
      </c>
      <c r="H214" s="28">
        <v>0.16</v>
      </c>
      <c r="I214" s="183">
        <v>240</v>
      </c>
      <c r="K214" s="244">
        <v>240</v>
      </c>
      <c r="L214" s="215" t="s">
        <v>86</v>
      </c>
      <c r="M214" s="216" t="s">
        <v>203</v>
      </c>
      <c r="N214" s="216" t="s">
        <v>205</v>
      </c>
      <c r="O214" s="157" t="s">
        <v>211</v>
      </c>
      <c r="P214" s="217" t="s">
        <v>224</v>
      </c>
      <c r="Q214" s="216" t="str">
        <f t="shared" ca="1" si="49"/>
        <v>AKM23E-ANCNR-00</v>
      </c>
      <c r="R214" s="218">
        <v>6</v>
      </c>
      <c r="S214" s="240">
        <v>1</v>
      </c>
      <c r="T214" s="240">
        <v>1</v>
      </c>
      <c r="U214" s="240">
        <v>1</v>
      </c>
      <c r="V214" s="240">
        <v>1</v>
      </c>
      <c r="W214" s="218">
        <v>1</v>
      </c>
      <c r="X214" s="218">
        <v>1</v>
      </c>
      <c r="AO214"/>
    </row>
    <row r="215" spans="1:41">
      <c r="A215" t="str">
        <f t="shared" ca="1" si="50"/>
        <v>AKM23E</v>
      </c>
      <c r="B215" s="28">
        <v>6</v>
      </c>
      <c r="C215" s="244" t="s">
        <v>86</v>
      </c>
      <c r="D215" s="28">
        <v>1.1599999999999999</v>
      </c>
      <c r="E215" s="28">
        <v>3.86</v>
      </c>
      <c r="F215" s="28">
        <v>0.98</v>
      </c>
      <c r="G215" s="28">
        <v>6500</v>
      </c>
      <c r="H215" s="28">
        <v>0.22</v>
      </c>
      <c r="I215" s="183">
        <v>240</v>
      </c>
      <c r="K215" s="244">
        <v>240</v>
      </c>
      <c r="L215" s="215" t="s">
        <v>87</v>
      </c>
      <c r="M215" s="216" t="s">
        <v>203</v>
      </c>
      <c r="N215" s="216" t="s">
        <v>205</v>
      </c>
      <c r="O215" s="157" t="s">
        <v>211</v>
      </c>
      <c r="P215" s="217" t="s">
        <v>224</v>
      </c>
      <c r="Q215" s="216" t="str">
        <f t="shared" ca="1" si="49"/>
        <v>AKM24E-ANCNR-00</v>
      </c>
      <c r="R215" s="218">
        <v>7</v>
      </c>
      <c r="S215" s="240">
        <v>1</v>
      </c>
      <c r="T215" s="240">
        <v>1</v>
      </c>
      <c r="U215" s="240">
        <v>1</v>
      </c>
      <c r="V215" s="240">
        <v>1</v>
      </c>
      <c r="W215" s="218">
        <v>1</v>
      </c>
      <c r="X215" s="218">
        <v>1</v>
      </c>
      <c r="AO215"/>
    </row>
    <row r="216" spans="1:41">
      <c r="A216" t="str">
        <f t="shared" ca="1" si="50"/>
        <v>AKM24E</v>
      </c>
      <c r="B216" s="28">
        <v>7</v>
      </c>
      <c r="C216" s="244" t="s">
        <v>87</v>
      </c>
      <c r="D216" s="28">
        <v>1.4</v>
      </c>
      <c r="E216" s="28">
        <v>4.79</v>
      </c>
      <c r="F216" s="28">
        <v>1.24</v>
      </c>
      <c r="G216" s="28">
        <v>5500</v>
      </c>
      <c r="H216" s="28">
        <v>0.27</v>
      </c>
      <c r="I216" s="183">
        <v>240</v>
      </c>
      <c r="K216" s="244">
        <v>240</v>
      </c>
      <c r="L216" s="219" t="s">
        <v>88</v>
      </c>
      <c r="M216" s="220" t="s">
        <v>204</v>
      </c>
      <c r="N216" s="220" t="s">
        <v>206</v>
      </c>
      <c r="O216" s="221" t="s">
        <v>207</v>
      </c>
      <c r="P216" s="222" t="s">
        <v>224</v>
      </c>
      <c r="Q216" s="220" t="str">
        <f t="shared" ca="1" si="49"/>
        <v>AKM31E-ANCNR-00</v>
      </c>
      <c r="R216" s="223">
        <v>8</v>
      </c>
      <c r="S216" s="241">
        <v>0</v>
      </c>
      <c r="T216" s="241">
        <v>0</v>
      </c>
      <c r="U216" s="241">
        <v>1</v>
      </c>
      <c r="V216" s="241">
        <v>1</v>
      </c>
      <c r="W216" s="223">
        <v>1</v>
      </c>
      <c r="X216" s="223">
        <v>1</v>
      </c>
      <c r="AO216"/>
    </row>
    <row r="217" spans="1:41">
      <c r="A217" t="str">
        <f t="shared" ca="1" si="50"/>
        <v>AKM31E</v>
      </c>
      <c r="B217" s="28">
        <v>8</v>
      </c>
      <c r="C217" s="244" t="s">
        <v>88</v>
      </c>
      <c r="D217" s="28">
        <v>1.2</v>
      </c>
      <c r="E217" s="28">
        <v>4</v>
      </c>
      <c r="F217" s="28">
        <v>0.95</v>
      </c>
      <c r="G217" s="28">
        <v>6000</v>
      </c>
      <c r="H217" s="28">
        <v>0.33</v>
      </c>
      <c r="I217" s="183">
        <v>240</v>
      </c>
      <c r="J217" s="34"/>
      <c r="K217" s="244">
        <v>240</v>
      </c>
      <c r="L217" s="219" t="s">
        <v>89</v>
      </c>
      <c r="M217" s="220" t="s">
        <v>204</v>
      </c>
      <c r="N217" s="220" t="s">
        <v>206</v>
      </c>
      <c r="O217" s="221" t="s">
        <v>207</v>
      </c>
      <c r="P217" s="222" t="s">
        <v>224</v>
      </c>
      <c r="Q217" s="220" t="str">
        <f t="shared" ca="1" si="49"/>
        <v>AKM32E-ANCNR-00</v>
      </c>
      <c r="R217" s="223">
        <v>9</v>
      </c>
      <c r="S217" s="241">
        <v>0</v>
      </c>
      <c r="T217" s="241">
        <v>0</v>
      </c>
      <c r="U217" s="241">
        <v>1</v>
      </c>
      <c r="V217" s="241">
        <v>1</v>
      </c>
      <c r="W217" s="223">
        <v>1</v>
      </c>
      <c r="X217" s="223">
        <v>1</v>
      </c>
      <c r="AO217"/>
    </row>
    <row r="218" spans="1:41">
      <c r="A218" t="str">
        <f t="shared" ca="1" si="50"/>
        <v>AKM32E</v>
      </c>
      <c r="B218" s="28">
        <v>9</v>
      </c>
      <c r="C218" s="244" t="s">
        <v>89</v>
      </c>
      <c r="D218" s="28">
        <v>2.04</v>
      </c>
      <c r="E218" s="193">
        <v>7.11</v>
      </c>
      <c r="F218" s="28">
        <v>1.91</v>
      </c>
      <c r="G218" s="28">
        <v>3000</v>
      </c>
      <c r="H218" s="28">
        <v>0.59</v>
      </c>
      <c r="I218" s="183">
        <v>240</v>
      </c>
      <c r="J218" s="183"/>
      <c r="K218" s="244">
        <v>240</v>
      </c>
      <c r="L218" s="219" t="s">
        <v>90</v>
      </c>
      <c r="M218" s="220" t="s">
        <v>204</v>
      </c>
      <c r="N218" s="220" t="s">
        <v>206</v>
      </c>
      <c r="O218" s="221" t="s">
        <v>207</v>
      </c>
      <c r="P218" s="222" t="s">
        <v>224</v>
      </c>
      <c r="Q218" s="220" t="str">
        <f t="shared" ca="1" si="49"/>
        <v>AKM33H-ANCNR-00</v>
      </c>
      <c r="R218" s="223">
        <v>10</v>
      </c>
      <c r="S218" s="241">
        <v>0</v>
      </c>
      <c r="T218" s="241">
        <v>0</v>
      </c>
      <c r="U218" s="241">
        <v>1</v>
      </c>
      <c r="V218" s="241">
        <v>1</v>
      </c>
      <c r="W218" s="223">
        <v>1</v>
      </c>
      <c r="X218" s="223">
        <v>1</v>
      </c>
      <c r="AO218"/>
    </row>
    <row r="219" spans="1:41">
      <c r="A219" t="str">
        <f t="shared" ca="1" si="50"/>
        <v>AKM33H</v>
      </c>
      <c r="B219" s="28">
        <v>10</v>
      </c>
      <c r="C219" s="244" t="s">
        <v>90</v>
      </c>
      <c r="D219" s="28">
        <v>2.88</v>
      </c>
      <c r="E219" s="28">
        <v>10.220000000000001</v>
      </c>
      <c r="F219" s="28">
        <v>2.27</v>
      </c>
      <c r="G219" s="28">
        <v>5500</v>
      </c>
      <c r="H219" s="28">
        <v>0.85</v>
      </c>
      <c r="I219" s="183">
        <v>240</v>
      </c>
      <c r="K219" s="244">
        <v>240</v>
      </c>
      <c r="L219" s="224" t="s">
        <v>91</v>
      </c>
      <c r="M219" s="225" t="s">
        <v>212</v>
      </c>
      <c r="N219" s="226" t="s">
        <v>198</v>
      </c>
      <c r="O219" s="227" t="s">
        <v>200</v>
      </c>
      <c r="P219" s="226" t="s">
        <v>227</v>
      </c>
      <c r="Q219" s="225" t="str">
        <f t="shared" ca="1" si="49"/>
        <v>AKM41H-HNCNR-00</v>
      </c>
      <c r="R219" s="228">
        <v>11</v>
      </c>
      <c r="S219" s="242">
        <v>0</v>
      </c>
      <c r="T219" s="242">
        <v>0</v>
      </c>
      <c r="U219" s="242">
        <v>1</v>
      </c>
      <c r="V219" s="242">
        <v>0</v>
      </c>
      <c r="W219" s="228">
        <v>1</v>
      </c>
      <c r="X219" s="228">
        <v>1</v>
      </c>
      <c r="AO219"/>
    </row>
    <row r="220" spans="1:41">
      <c r="A220" t="str">
        <f t="shared" ca="1" si="50"/>
        <v>AKM41H</v>
      </c>
      <c r="B220" s="28">
        <v>11</v>
      </c>
      <c r="C220" s="244" t="s">
        <v>91</v>
      </c>
      <c r="D220" s="28">
        <v>2.06</v>
      </c>
      <c r="E220" s="28">
        <v>6.36</v>
      </c>
      <c r="F220" s="28">
        <v>1.62</v>
      </c>
      <c r="G220" s="28">
        <v>6000</v>
      </c>
      <c r="H220" s="28">
        <v>0.81</v>
      </c>
      <c r="I220" s="183">
        <v>240</v>
      </c>
      <c r="K220" s="244">
        <v>240</v>
      </c>
      <c r="L220" s="224" t="s">
        <v>92</v>
      </c>
      <c r="M220" s="225" t="s">
        <v>212</v>
      </c>
      <c r="N220" s="226" t="s">
        <v>198</v>
      </c>
      <c r="O220" s="227" t="s">
        <v>200</v>
      </c>
      <c r="P220" s="226" t="s">
        <v>227</v>
      </c>
      <c r="Q220" s="225" t="str">
        <f t="shared" ca="1" si="49"/>
        <v>AKM42J-HNCNR-00</v>
      </c>
      <c r="R220" s="228">
        <v>12</v>
      </c>
      <c r="S220" s="242">
        <v>0</v>
      </c>
      <c r="T220" s="242">
        <v>0</v>
      </c>
      <c r="U220" s="242">
        <v>1</v>
      </c>
      <c r="V220" s="242">
        <v>0</v>
      </c>
      <c r="W220" s="228">
        <v>1</v>
      </c>
      <c r="X220" s="228">
        <v>1</v>
      </c>
      <c r="AO220"/>
    </row>
    <row r="221" spans="1:41">
      <c r="A221" t="str">
        <f t="shared" ca="1" si="50"/>
        <v>AKM42J</v>
      </c>
      <c r="B221" s="28">
        <v>12</v>
      </c>
      <c r="C221" s="244" t="s">
        <v>92</v>
      </c>
      <c r="D221" s="28">
        <v>3.56</v>
      </c>
      <c r="E221" s="28">
        <v>11.6</v>
      </c>
      <c r="F221" s="28">
        <v>2.38</v>
      </c>
      <c r="G221" s="28">
        <v>6000</v>
      </c>
      <c r="H221" s="28">
        <v>1.5</v>
      </c>
      <c r="I221" s="183">
        <v>240</v>
      </c>
      <c r="K221" s="244">
        <v>240</v>
      </c>
      <c r="L221" s="224" t="s">
        <v>93</v>
      </c>
      <c r="M221" s="225" t="s">
        <v>212</v>
      </c>
      <c r="N221" s="226" t="s">
        <v>198</v>
      </c>
      <c r="O221" s="227" t="s">
        <v>200</v>
      </c>
      <c r="P221" s="226" t="s">
        <v>227</v>
      </c>
      <c r="Q221" s="225" t="str">
        <f t="shared" ca="1" si="49"/>
        <v>AKM43L-HNCNR-00</v>
      </c>
      <c r="R221" s="228">
        <v>13</v>
      </c>
      <c r="S221" s="242">
        <v>0</v>
      </c>
      <c r="T221" s="242">
        <v>0</v>
      </c>
      <c r="U221" s="242">
        <v>1</v>
      </c>
      <c r="V221" s="242">
        <v>0</v>
      </c>
      <c r="W221" s="228">
        <v>1</v>
      </c>
      <c r="X221" s="228">
        <v>1</v>
      </c>
    </row>
    <row r="222" spans="1:41">
      <c r="A222" s="48" t="str">
        <f t="shared" ca="1" si="50"/>
        <v>AKM43L</v>
      </c>
      <c r="B222" s="28">
        <v>13</v>
      </c>
      <c r="C222" s="244" t="s">
        <v>93</v>
      </c>
      <c r="D222" s="28">
        <v>4.7300000000000004</v>
      </c>
      <c r="E222" s="28">
        <v>16</v>
      </c>
      <c r="F222" s="28">
        <v>2.5299999999999998</v>
      </c>
      <c r="G222" s="28">
        <v>6000</v>
      </c>
      <c r="H222" s="28">
        <v>2.1</v>
      </c>
      <c r="I222" s="183">
        <v>240</v>
      </c>
      <c r="K222" s="244">
        <v>240</v>
      </c>
      <c r="L222" s="224" t="s">
        <v>94</v>
      </c>
      <c r="M222" s="225" t="s">
        <v>212</v>
      </c>
      <c r="N222" s="226" t="s">
        <v>198</v>
      </c>
      <c r="O222" s="227" t="s">
        <v>200</v>
      </c>
      <c r="P222" s="226" t="s">
        <v>227</v>
      </c>
      <c r="Q222" s="225" t="str">
        <f t="shared" ca="1" si="49"/>
        <v>AKM44J-HNCNR-00</v>
      </c>
      <c r="R222" s="228">
        <v>14</v>
      </c>
      <c r="S222" s="242">
        <v>0</v>
      </c>
      <c r="T222" s="242">
        <v>0</v>
      </c>
      <c r="U222" s="242">
        <v>1</v>
      </c>
      <c r="V222" s="242">
        <v>0</v>
      </c>
      <c r="W222" s="228">
        <v>1</v>
      </c>
      <c r="X222" s="228">
        <v>1</v>
      </c>
    </row>
    <row r="223" spans="1:41">
      <c r="A223" s="48" t="str">
        <f t="shared" ca="1" si="50"/>
        <v>AKM44J</v>
      </c>
      <c r="B223" s="28">
        <v>14</v>
      </c>
      <c r="C223" s="244" t="s">
        <v>94</v>
      </c>
      <c r="D223" s="28">
        <v>6</v>
      </c>
      <c r="E223" s="28">
        <v>20.399999999999999</v>
      </c>
      <c r="F223" s="28">
        <v>3.84</v>
      </c>
      <c r="G223" s="28">
        <v>4000</v>
      </c>
      <c r="H223" s="28">
        <v>2.7</v>
      </c>
      <c r="I223" s="183">
        <v>240</v>
      </c>
      <c r="K223">
        <v>120</v>
      </c>
      <c r="L223" s="214" t="s">
        <v>341</v>
      </c>
      <c r="M223" s="34"/>
      <c r="N223" s="36" t="s">
        <v>201</v>
      </c>
      <c r="O223" s="34" t="s">
        <v>211</v>
      </c>
      <c r="P223" s="127" t="s">
        <v>224</v>
      </c>
      <c r="Q223" s="36" t="str">
        <f t="shared" ca="1" si="49"/>
        <v>AKM11C-ANCNR-00</v>
      </c>
      <c r="R223" s="83">
        <v>15</v>
      </c>
      <c r="S223" s="239">
        <v>1</v>
      </c>
      <c r="T223" s="239">
        <v>1</v>
      </c>
      <c r="U223" s="239">
        <v>1</v>
      </c>
      <c r="V223" s="239">
        <v>1</v>
      </c>
      <c r="W223" s="83">
        <v>1</v>
      </c>
      <c r="X223" s="83">
        <v>1</v>
      </c>
    </row>
    <row r="224" spans="1:41">
      <c r="K224">
        <v>120</v>
      </c>
      <c r="L224" s="214" t="s">
        <v>342</v>
      </c>
      <c r="M224" s="34"/>
      <c r="N224" s="36" t="s">
        <v>201</v>
      </c>
      <c r="O224" s="34" t="s">
        <v>211</v>
      </c>
      <c r="P224" s="127" t="s">
        <v>224</v>
      </c>
      <c r="Q224" s="36" t="str">
        <f t="shared" ca="1" si="49"/>
        <v>AKM12E-ANCNR-00</v>
      </c>
      <c r="R224" s="83">
        <v>16</v>
      </c>
      <c r="S224" s="239">
        <v>1</v>
      </c>
      <c r="T224" s="239">
        <v>1</v>
      </c>
      <c r="U224" s="239">
        <v>1</v>
      </c>
      <c r="V224" s="239">
        <v>1</v>
      </c>
      <c r="W224" s="83">
        <v>1</v>
      </c>
      <c r="X224" s="83">
        <v>1</v>
      </c>
    </row>
    <row r="225" spans="1:24">
      <c r="A225" s="48" t="str">
        <f t="shared" ref="A225:A238" ca="1" si="51">IF($J$150=1,C225," xx")</f>
        <v>AKM11C</v>
      </c>
      <c r="B225" s="131">
        <v>15</v>
      </c>
      <c r="C225" s="131" t="s">
        <v>341</v>
      </c>
      <c r="D225" s="131">
        <v>0.185</v>
      </c>
      <c r="E225" s="131">
        <v>0.61399999999999999</v>
      </c>
      <c r="F225" s="131">
        <v>0.17599999999999999</v>
      </c>
      <c r="G225" s="131">
        <v>6000</v>
      </c>
      <c r="H225" s="183">
        <v>1.7000000000000001E-2</v>
      </c>
      <c r="I225" s="183">
        <v>120</v>
      </c>
      <c r="K225">
        <v>120</v>
      </c>
      <c r="L225" s="214" t="s">
        <v>343</v>
      </c>
      <c r="M225" s="34"/>
      <c r="N225" s="36" t="s">
        <v>201</v>
      </c>
      <c r="O225" s="34" t="s">
        <v>211</v>
      </c>
      <c r="P225" s="127" t="s">
        <v>224</v>
      </c>
      <c r="Q225" s="36" t="str">
        <f t="shared" ca="1" si="49"/>
        <v>AKM13D-ANCNR-00</v>
      </c>
      <c r="R225" s="83">
        <v>17</v>
      </c>
      <c r="S225" s="239">
        <v>1</v>
      </c>
      <c r="T225" s="239">
        <v>1</v>
      </c>
      <c r="U225" s="239">
        <v>1</v>
      </c>
      <c r="V225" s="239">
        <v>1</v>
      </c>
      <c r="W225" s="83">
        <v>1</v>
      </c>
      <c r="X225" s="83">
        <v>1</v>
      </c>
    </row>
    <row r="226" spans="1:24">
      <c r="A226" s="48" t="str">
        <f t="shared" ca="1" si="51"/>
        <v>AKM12E</v>
      </c>
      <c r="B226" s="131">
        <v>16</v>
      </c>
      <c r="C226" s="131" t="s">
        <v>342</v>
      </c>
      <c r="D226" s="183">
        <v>0.31</v>
      </c>
      <c r="E226" s="183">
        <v>1.08</v>
      </c>
      <c r="F226" s="183">
        <v>0.27900000000000003</v>
      </c>
      <c r="G226" s="183">
        <v>8000</v>
      </c>
      <c r="H226" s="183">
        <v>3.1E-2</v>
      </c>
      <c r="I226" s="183">
        <v>120</v>
      </c>
      <c r="K226">
        <v>120</v>
      </c>
      <c r="L226" s="215" t="s">
        <v>344</v>
      </c>
      <c r="M226" s="157"/>
      <c r="N226" s="216" t="s">
        <v>205</v>
      </c>
      <c r="O226" s="157" t="s">
        <v>211</v>
      </c>
      <c r="P226" s="217" t="s">
        <v>224</v>
      </c>
      <c r="Q226" s="216" t="str">
        <f t="shared" ca="1" si="49"/>
        <v>AKM21E-ANCNR-00</v>
      </c>
      <c r="R226" s="218">
        <v>18</v>
      </c>
      <c r="S226" s="240">
        <v>1</v>
      </c>
      <c r="T226" s="240">
        <v>1</v>
      </c>
      <c r="U226" s="240">
        <v>1</v>
      </c>
      <c r="V226" s="240">
        <v>1</v>
      </c>
      <c r="W226" s="218">
        <v>1</v>
      </c>
      <c r="X226" s="218">
        <v>1</v>
      </c>
    </row>
    <row r="227" spans="1:24">
      <c r="A227" s="48" t="str">
        <f t="shared" ca="1" si="51"/>
        <v>AKM13D</v>
      </c>
      <c r="B227" s="131">
        <v>17</v>
      </c>
      <c r="C227" s="131" t="s">
        <v>343</v>
      </c>
      <c r="D227" s="131">
        <v>0.40100000000000002</v>
      </c>
      <c r="E227" s="131">
        <v>1.44</v>
      </c>
      <c r="F227" s="131">
        <v>0.36499999999999999</v>
      </c>
      <c r="G227" s="131">
        <v>7000</v>
      </c>
      <c r="H227" s="183">
        <v>4.4999999999999998E-2</v>
      </c>
      <c r="I227" s="183">
        <v>120</v>
      </c>
      <c r="K227">
        <v>120</v>
      </c>
      <c r="L227" s="215" t="s">
        <v>345</v>
      </c>
      <c r="M227" s="157"/>
      <c r="N227" s="216" t="s">
        <v>205</v>
      </c>
      <c r="O227" s="157" t="s">
        <v>211</v>
      </c>
      <c r="P227" s="217" t="s">
        <v>224</v>
      </c>
      <c r="Q227" s="216" t="str">
        <f t="shared" ca="1" si="49"/>
        <v>AKM22G-ANCNR-00</v>
      </c>
      <c r="R227" s="218">
        <v>19</v>
      </c>
      <c r="S227" s="240">
        <v>1</v>
      </c>
      <c r="T227" s="240">
        <v>1</v>
      </c>
      <c r="U227" s="240">
        <v>1</v>
      </c>
      <c r="V227" s="240">
        <v>1</v>
      </c>
      <c r="W227" s="218">
        <v>1</v>
      </c>
      <c r="X227" s="218">
        <v>1</v>
      </c>
    </row>
    <row r="228" spans="1:24">
      <c r="A228" s="48" t="str">
        <f t="shared" ca="1" si="51"/>
        <v>AKM21E</v>
      </c>
      <c r="B228" s="131">
        <v>18</v>
      </c>
      <c r="C228" s="131" t="s">
        <v>344</v>
      </c>
      <c r="D228" s="131">
        <v>0.5</v>
      </c>
      <c r="E228" s="131">
        <v>1.49</v>
      </c>
      <c r="F228" s="131">
        <v>0.41</v>
      </c>
      <c r="G228" s="131">
        <v>7000</v>
      </c>
      <c r="H228" s="183">
        <v>0.11</v>
      </c>
      <c r="I228" s="183">
        <v>120</v>
      </c>
      <c r="K228">
        <v>120</v>
      </c>
      <c r="L228" s="215" t="s">
        <v>346</v>
      </c>
      <c r="M228" s="157"/>
      <c r="N228" s="216" t="s">
        <v>205</v>
      </c>
      <c r="O228" s="157" t="s">
        <v>211</v>
      </c>
      <c r="P228" s="217" t="s">
        <v>224</v>
      </c>
      <c r="Q228" s="216" t="str">
        <f t="shared" ca="1" si="49"/>
        <v>AKM23F-ANCNR-00</v>
      </c>
      <c r="R228" s="218">
        <v>20</v>
      </c>
      <c r="S228" s="240">
        <v>1</v>
      </c>
      <c r="T228" s="240">
        <v>1</v>
      </c>
      <c r="U228" s="240">
        <v>1</v>
      </c>
      <c r="V228" s="240">
        <v>1</v>
      </c>
      <c r="W228" s="218">
        <v>1</v>
      </c>
      <c r="X228" s="218">
        <v>1</v>
      </c>
    </row>
    <row r="229" spans="1:24">
      <c r="A229" s="48" t="str">
        <f t="shared" ca="1" si="51"/>
        <v>AKM22G</v>
      </c>
      <c r="B229" s="131">
        <v>19</v>
      </c>
      <c r="C229" s="131" t="s">
        <v>345</v>
      </c>
      <c r="D229" s="131">
        <v>0.88</v>
      </c>
      <c r="E229" s="131">
        <v>2.79</v>
      </c>
      <c r="F229" s="131">
        <v>0.74</v>
      </c>
      <c r="G229" s="131">
        <v>7000</v>
      </c>
      <c r="H229" s="183">
        <v>0.16</v>
      </c>
      <c r="I229" s="183">
        <v>120</v>
      </c>
      <c r="K229">
        <v>120</v>
      </c>
      <c r="L229" s="215" t="s">
        <v>347</v>
      </c>
      <c r="M229" s="157"/>
      <c r="N229" s="216" t="s">
        <v>205</v>
      </c>
      <c r="O229" s="157" t="s">
        <v>211</v>
      </c>
      <c r="P229" s="217" t="s">
        <v>224</v>
      </c>
      <c r="Q229" s="216" t="str">
        <f t="shared" ca="1" si="49"/>
        <v>AKM24F-ANCNR-00</v>
      </c>
      <c r="R229" s="218">
        <v>21</v>
      </c>
      <c r="S229" s="240">
        <v>1</v>
      </c>
      <c r="T229" s="240">
        <v>1</v>
      </c>
      <c r="U229" s="240">
        <v>1</v>
      </c>
      <c r="V229" s="240">
        <v>1</v>
      </c>
      <c r="W229" s="218">
        <v>1</v>
      </c>
      <c r="X229" s="218">
        <v>1</v>
      </c>
    </row>
    <row r="230" spans="1:24">
      <c r="A230" s="48" t="str">
        <f t="shared" ca="1" si="51"/>
        <v>AKM23F</v>
      </c>
      <c r="B230" s="131">
        <v>20</v>
      </c>
      <c r="C230" s="131" t="s">
        <v>346</v>
      </c>
      <c r="D230" s="131">
        <v>1.18</v>
      </c>
      <c r="E230" s="131">
        <v>3.88</v>
      </c>
      <c r="F230" s="131">
        <v>1.07</v>
      </c>
      <c r="G230" s="131">
        <v>4500</v>
      </c>
      <c r="H230" s="183">
        <v>0.22</v>
      </c>
      <c r="I230" s="183">
        <v>120</v>
      </c>
      <c r="K230">
        <v>120</v>
      </c>
      <c r="L230" s="219" t="s">
        <v>348</v>
      </c>
      <c r="M230" s="158"/>
      <c r="N230" s="220" t="s">
        <v>206</v>
      </c>
      <c r="O230" s="221" t="s">
        <v>207</v>
      </c>
      <c r="P230" s="222" t="s">
        <v>224</v>
      </c>
      <c r="Q230" s="220" t="str">
        <f t="shared" ca="1" si="49"/>
        <v>AKM31H-ANCNR-00</v>
      </c>
      <c r="R230" s="223">
        <v>22</v>
      </c>
      <c r="S230" s="241">
        <v>0</v>
      </c>
      <c r="T230" s="241">
        <v>0</v>
      </c>
      <c r="U230" s="241">
        <v>1</v>
      </c>
      <c r="V230" s="241">
        <v>1</v>
      </c>
      <c r="W230" s="223">
        <v>1</v>
      </c>
      <c r="X230" s="223">
        <v>1</v>
      </c>
    </row>
    <row r="231" spans="1:24">
      <c r="A231" s="48" t="str">
        <f t="shared" ca="1" si="51"/>
        <v>AKM24F</v>
      </c>
      <c r="B231" s="131">
        <v>21</v>
      </c>
      <c r="C231" s="131" t="s">
        <v>347</v>
      </c>
      <c r="D231" s="131">
        <v>1.42</v>
      </c>
      <c r="E231" s="131">
        <v>4.82</v>
      </c>
      <c r="F231" s="131">
        <v>1.33</v>
      </c>
      <c r="G231" s="131">
        <v>3000</v>
      </c>
      <c r="H231" s="183">
        <v>0.27</v>
      </c>
      <c r="I231" s="183">
        <v>120</v>
      </c>
      <c r="K231">
        <v>120</v>
      </c>
      <c r="L231" s="219" t="s">
        <v>349</v>
      </c>
      <c r="M231" s="158"/>
      <c r="N231" s="220" t="s">
        <v>206</v>
      </c>
      <c r="O231" s="221" t="s">
        <v>207</v>
      </c>
      <c r="P231" s="222" t="s">
        <v>224</v>
      </c>
      <c r="Q231" s="220" t="str">
        <f t="shared" ca="1" si="49"/>
        <v>AKM32H-ANCNR-00</v>
      </c>
      <c r="R231" s="223">
        <v>23</v>
      </c>
      <c r="S231" s="241">
        <v>0</v>
      </c>
      <c r="T231" s="241">
        <v>0</v>
      </c>
      <c r="U231" s="241">
        <v>1</v>
      </c>
      <c r="V231" s="241">
        <v>1</v>
      </c>
      <c r="W231" s="223">
        <v>1</v>
      </c>
      <c r="X231" s="223">
        <v>1</v>
      </c>
    </row>
    <row r="232" spans="1:24">
      <c r="A232" s="48" t="str">
        <f t="shared" ca="1" si="51"/>
        <v>AKM31H</v>
      </c>
      <c r="B232" s="131">
        <v>22</v>
      </c>
      <c r="C232" s="131" t="s">
        <v>348</v>
      </c>
      <c r="D232" s="131">
        <v>1.23</v>
      </c>
      <c r="E232" s="131">
        <v>4.0599999999999996</v>
      </c>
      <c r="F232" s="131">
        <v>0.97</v>
      </c>
      <c r="G232" s="131">
        <v>6000</v>
      </c>
      <c r="H232" s="183">
        <v>0.33</v>
      </c>
      <c r="I232" s="183">
        <v>120</v>
      </c>
      <c r="K232">
        <v>120</v>
      </c>
      <c r="L232" s="219" t="s">
        <v>90</v>
      </c>
      <c r="M232" s="158"/>
      <c r="N232" s="220" t="s">
        <v>206</v>
      </c>
      <c r="O232" s="221" t="s">
        <v>207</v>
      </c>
      <c r="P232" s="222" t="s">
        <v>224</v>
      </c>
      <c r="Q232" s="220" t="str">
        <f t="shared" ca="1" si="49"/>
        <v>AKM33H-ANCNR-00</v>
      </c>
      <c r="R232" s="223">
        <v>24</v>
      </c>
      <c r="S232" s="241">
        <v>0</v>
      </c>
      <c r="T232" s="241">
        <v>0</v>
      </c>
      <c r="U232" s="241">
        <v>1</v>
      </c>
      <c r="V232" s="241">
        <v>1</v>
      </c>
      <c r="W232" s="223">
        <v>1</v>
      </c>
      <c r="X232" s="223">
        <v>1</v>
      </c>
    </row>
    <row r="233" spans="1:24">
      <c r="A233" s="48" t="str">
        <f t="shared" ca="1" si="51"/>
        <v>AKM32H</v>
      </c>
      <c r="B233" s="131">
        <v>23</v>
      </c>
      <c r="C233" s="131" t="s">
        <v>349</v>
      </c>
      <c r="D233" s="131">
        <v>2.1</v>
      </c>
      <c r="E233" s="131">
        <v>7.26</v>
      </c>
      <c r="F233" s="131">
        <v>1.96</v>
      </c>
      <c r="G233" s="131">
        <v>3000</v>
      </c>
      <c r="H233" s="183">
        <v>0.59</v>
      </c>
      <c r="I233" s="183">
        <v>120</v>
      </c>
      <c r="K233">
        <v>120</v>
      </c>
      <c r="L233" s="224" t="s">
        <v>91</v>
      </c>
      <c r="M233" s="229"/>
      <c r="N233" s="226" t="s">
        <v>198</v>
      </c>
      <c r="O233" s="227" t="s">
        <v>200</v>
      </c>
      <c r="P233" s="226" t="s">
        <v>227</v>
      </c>
      <c r="Q233" s="225" t="str">
        <f t="shared" ca="1" si="49"/>
        <v>AKM41H-HNCNR-00</v>
      </c>
      <c r="R233" s="228">
        <v>25</v>
      </c>
      <c r="S233" s="242">
        <v>0</v>
      </c>
      <c r="T233" s="242">
        <v>0</v>
      </c>
      <c r="U233" s="242">
        <v>1</v>
      </c>
      <c r="V233" s="242">
        <v>0</v>
      </c>
      <c r="W233" s="228">
        <v>1</v>
      </c>
      <c r="X233" s="228">
        <v>1</v>
      </c>
    </row>
    <row r="234" spans="1:24">
      <c r="A234" s="48" t="str">
        <f t="shared" ca="1" si="51"/>
        <v>AKM33H</v>
      </c>
      <c r="B234" s="131">
        <v>24</v>
      </c>
      <c r="C234" s="131" t="s">
        <v>90</v>
      </c>
      <c r="D234" s="131">
        <v>2.88</v>
      </c>
      <c r="E234" s="131">
        <v>10.220000000000001</v>
      </c>
      <c r="F234" s="131">
        <v>2.66</v>
      </c>
      <c r="G234" s="131">
        <v>2500</v>
      </c>
      <c r="H234" s="183">
        <v>0.85</v>
      </c>
      <c r="I234" s="183">
        <v>120</v>
      </c>
      <c r="K234">
        <v>120</v>
      </c>
      <c r="L234" s="224" t="s">
        <v>92</v>
      </c>
      <c r="M234" s="229"/>
      <c r="N234" s="226" t="s">
        <v>198</v>
      </c>
      <c r="O234" s="227" t="s">
        <v>200</v>
      </c>
      <c r="P234" s="226" t="s">
        <v>227</v>
      </c>
      <c r="Q234" s="225" t="str">
        <f t="shared" ca="1" si="49"/>
        <v>AKM42J-HNCNR-00</v>
      </c>
      <c r="R234" s="228">
        <v>26</v>
      </c>
      <c r="S234" s="242">
        <v>0</v>
      </c>
      <c r="T234" s="242">
        <v>0</v>
      </c>
      <c r="U234" s="242">
        <v>1</v>
      </c>
      <c r="V234" s="242">
        <v>0</v>
      </c>
      <c r="W234" s="228">
        <v>1</v>
      </c>
      <c r="X234" s="228">
        <v>1</v>
      </c>
    </row>
    <row r="235" spans="1:24">
      <c r="A235" s="48" t="str">
        <f t="shared" ca="1" si="51"/>
        <v>AKM41H</v>
      </c>
      <c r="B235" s="183">
        <v>25</v>
      </c>
      <c r="C235" s="183" t="s">
        <v>91</v>
      </c>
      <c r="D235" s="131">
        <v>2.06</v>
      </c>
      <c r="E235" s="131">
        <v>6.36</v>
      </c>
      <c r="F235" s="131">
        <v>1.86</v>
      </c>
      <c r="G235" s="131">
        <v>3000</v>
      </c>
      <c r="H235" s="183">
        <v>0.81</v>
      </c>
      <c r="I235" s="183">
        <v>120</v>
      </c>
      <c r="K235">
        <v>120</v>
      </c>
      <c r="L235" s="224" t="s">
        <v>93</v>
      </c>
      <c r="M235" s="229"/>
      <c r="N235" s="226" t="s">
        <v>198</v>
      </c>
      <c r="O235" s="227" t="s">
        <v>200</v>
      </c>
      <c r="P235" s="226" t="s">
        <v>227</v>
      </c>
      <c r="Q235" s="225" t="str">
        <f t="shared" ca="1" si="49"/>
        <v>AKM43L-HNCNR-00</v>
      </c>
      <c r="R235" s="228">
        <v>27</v>
      </c>
      <c r="S235" s="242">
        <v>0</v>
      </c>
      <c r="T235" s="242">
        <v>0</v>
      </c>
      <c r="U235" s="242">
        <v>1</v>
      </c>
      <c r="V235" s="242">
        <v>0</v>
      </c>
      <c r="W235" s="228">
        <v>1</v>
      </c>
      <c r="X235" s="228">
        <v>1</v>
      </c>
    </row>
    <row r="236" spans="1:24">
      <c r="A236" s="48" t="str">
        <f t="shared" ca="1" si="51"/>
        <v>AKM42J</v>
      </c>
      <c r="B236" s="183">
        <v>26</v>
      </c>
      <c r="C236" s="183" t="s">
        <v>92</v>
      </c>
      <c r="D236" s="183">
        <v>3.56</v>
      </c>
      <c r="E236" s="183">
        <v>11.6</v>
      </c>
      <c r="F236" s="183">
        <v>3.03</v>
      </c>
      <c r="G236" s="183">
        <v>3000</v>
      </c>
      <c r="H236" s="183">
        <v>1.5</v>
      </c>
      <c r="I236" s="183">
        <v>120</v>
      </c>
      <c r="K236">
        <v>120</v>
      </c>
      <c r="L236" s="224" t="s">
        <v>350</v>
      </c>
      <c r="M236" s="229"/>
      <c r="N236" s="226" t="s">
        <v>198</v>
      </c>
      <c r="O236" s="227" t="s">
        <v>200</v>
      </c>
      <c r="P236" s="226" t="s">
        <v>227</v>
      </c>
      <c r="Q236" s="225" t="str">
        <f t="shared" ca="1" si="49"/>
        <v>AKM44H-HNCNR-00</v>
      </c>
      <c r="R236" s="228">
        <v>28</v>
      </c>
      <c r="S236" s="242">
        <v>0</v>
      </c>
      <c r="T236" s="242">
        <v>0</v>
      </c>
      <c r="U236" s="242">
        <v>1</v>
      </c>
      <c r="V236" s="242">
        <v>0</v>
      </c>
      <c r="W236" s="228">
        <v>1</v>
      </c>
      <c r="X236" s="228">
        <v>1</v>
      </c>
    </row>
    <row r="237" spans="1:24">
      <c r="A237" s="48" t="str">
        <f t="shared" ca="1" si="51"/>
        <v>AKM43L</v>
      </c>
      <c r="B237" s="183">
        <v>27</v>
      </c>
      <c r="C237" s="183" t="s">
        <v>93</v>
      </c>
      <c r="D237" s="183">
        <v>4.7300000000000004</v>
      </c>
      <c r="E237" s="183">
        <v>16</v>
      </c>
      <c r="F237" s="183">
        <v>3.78</v>
      </c>
      <c r="G237" s="183">
        <v>3000</v>
      </c>
      <c r="H237" s="183">
        <v>2.1</v>
      </c>
      <c r="I237" s="183">
        <v>120</v>
      </c>
      <c r="K237">
        <v>400</v>
      </c>
      <c r="L237" s="215" t="s">
        <v>351</v>
      </c>
      <c r="M237" s="157"/>
      <c r="N237" s="216" t="s">
        <v>205</v>
      </c>
      <c r="O237" s="157" t="s">
        <v>211</v>
      </c>
      <c r="P237" s="217" t="s">
        <v>224</v>
      </c>
      <c r="Q237" s="216" t="str">
        <f t="shared" ca="1" si="49"/>
        <v>AKM22C-ANCNR-00</v>
      </c>
      <c r="R237" s="218">
        <v>29</v>
      </c>
      <c r="S237" s="240">
        <v>1</v>
      </c>
      <c r="T237" s="240">
        <v>1</v>
      </c>
      <c r="U237" s="240">
        <v>1</v>
      </c>
      <c r="V237" s="240">
        <v>1</v>
      </c>
      <c r="W237" s="218">
        <v>1</v>
      </c>
      <c r="X237" s="218">
        <v>1</v>
      </c>
    </row>
    <row r="238" spans="1:24">
      <c r="A238" s="48" t="str">
        <f t="shared" ca="1" si="51"/>
        <v>AKM44H</v>
      </c>
      <c r="B238" s="183">
        <v>28</v>
      </c>
      <c r="C238" s="183" t="s">
        <v>350</v>
      </c>
      <c r="D238" s="183">
        <v>5.89</v>
      </c>
      <c r="E238" s="183">
        <v>20.2</v>
      </c>
      <c r="F238" s="183">
        <v>5.44</v>
      </c>
      <c r="G238" s="183">
        <v>1000</v>
      </c>
      <c r="H238" s="183">
        <v>2.7</v>
      </c>
      <c r="I238" s="183">
        <v>120</v>
      </c>
      <c r="K238">
        <v>400</v>
      </c>
      <c r="L238" s="215" t="s">
        <v>352</v>
      </c>
      <c r="M238" s="157"/>
      <c r="N238" s="216" t="s">
        <v>205</v>
      </c>
      <c r="O238" s="157" t="s">
        <v>211</v>
      </c>
      <c r="P238" s="217" t="s">
        <v>224</v>
      </c>
      <c r="Q238" s="216" t="str">
        <f t="shared" ca="1" si="49"/>
        <v>AKM23D-ANCNR-00</v>
      </c>
      <c r="R238" s="218">
        <v>30</v>
      </c>
      <c r="S238" s="240">
        <v>1</v>
      </c>
      <c r="T238" s="240">
        <v>1</v>
      </c>
      <c r="U238" s="240">
        <v>1</v>
      </c>
      <c r="V238" s="240">
        <v>1</v>
      </c>
      <c r="W238" s="218">
        <v>1</v>
      </c>
      <c r="X238" s="218">
        <v>1</v>
      </c>
    </row>
    <row r="239" spans="1:24">
      <c r="K239">
        <v>400</v>
      </c>
      <c r="L239" s="215" t="s">
        <v>353</v>
      </c>
      <c r="M239" s="157"/>
      <c r="N239" s="216" t="s">
        <v>205</v>
      </c>
      <c r="O239" s="157" t="s">
        <v>211</v>
      </c>
      <c r="P239" s="217" t="s">
        <v>224</v>
      </c>
      <c r="Q239" s="216" t="str">
        <f t="shared" ca="1" si="49"/>
        <v>AKM24D-ANCNR-00</v>
      </c>
      <c r="R239" s="218">
        <v>31</v>
      </c>
      <c r="S239" s="240">
        <v>1</v>
      </c>
      <c r="T239" s="240">
        <v>1</v>
      </c>
      <c r="U239" s="240">
        <v>1</v>
      </c>
      <c r="V239" s="240">
        <v>1</v>
      </c>
      <c r="W239" s="218">
        <v>1</v>
      </c>
      <c r="X239" s="218">
        <v>1</v>
      </c>
    </row>
    <row r="240" spans="1:24">
      <c r="A240" s="48" t="str">
        <f t="shared" ref="A240:A249" ca="1" si="52">IF($J$150=1,C240," xx")</f>
        <v>AKM22C</v>
      </c>
      <c r="B240" s="183">
        <v>29</v>
      </c>
      <c r="C240" s="183" t="s">
        <v>351</v>
      </c>
      <c r="D240" s="183">
        <v>0.84</v>
      </c>
      <c r="E240" s="183">
        <v>2.73</v>
      </c>
      <c r="F240" s="183">
        <v>0.68</v>
      </c>
      <c r="G240" s="183">
        <v>8000</v>
      </c>
      <c r="H240" s="183">
        <v>0.16</v>
      </c>
      <c r="I240" s="183">
        <v>400</v>
      </c>
      <c r="K240">
        <v>400</v>
      </c>
      <c r="L240" s="219" t="s">
        <v>354</v>
      </c>
      <c r="M240" s="158"/>
      <c r="N240" s="220" t="s">
        <v>206</v>
      </c>
      <c r="O240" s="221" t="s">
        <v>207</v>
      </c>
      <c r="P240" s="222" t="s">
        <v>224</v>
      </c>
      <c r="Q240" s="220" t="str">
        <f t="shared" ca="1" si="49"/>
        <v>AKM31C-ANCNR-00</v>
      </c>
      <c r="R240" s="223">
        <v>32</v>
      </c>
      <c r="S240" s="241">
        <v>0</v>
      </c>
      <c r="T240" s="241">
        <v>0</v>
      </c>
      <c r="U240" s="241">
        <v>1</v>
      </c>
      <c r="V240" s="241">
        <v>1</v>
      </c>
      <c r="W240" s="223">
        <v>1</v>
      </c>
      <c r="X240" s="223">
        <v>1</v>
      </c>
    </row>
    <row r="241" spans="1:24">
      <c r="A241" s="48" t="str">
        <f t="shared" ca="1" si="52"/>
        <v>AKM23D</v>
      </c>
      <c r="B241" s="183">
        <v>30</v>
      </c>
      <c r="C241" s="183" t="s">
        <v>352</v>
      </c>
      <c r="D241" s="183">
        <v>1.1599999999999999</v>
      </c>
      <c r="E241" s="183">
        <v>0.92</v>
      </c>
      <c r="F241" s="183">
        <v>0.92</v>
      </c>
      <c r="G241" s="183">
        <v>8000</v>
      </c>
      <c r="H241" s="183">
        <v>0.22</v>
      </c>
      <c r="I241" s="183">
        <v>400</v>
      </c>
      <c r="K241">
        <v>400</v>
      </c>
      <c r="L241" s="219" t="s">
        <v>89</v>
      </c>
      <c r="M241" s="158"/>
      <c r="N241" s="220" t="s">
        <v>206</v>
      </c>
      <c r="O241" s="221" t="s">
        <v>207</v>
      </c>
      <c r="P241" s="222" t="s">
        <v>224</v>
      </c>
      <c r="Q241" s="220" t="str">
        <f t="shared" ca="1" si="49"/>
        <v>AKM32E-ANCNR-00</v>
      </c>
      <c r="R241" s="223">
        <v>33</v>
      </c>
      <c r="S241" s="241">
        <v>0</v>
      </c>
      <c r="T241" s="241">
        <v>0</v>
      </c>
      <c r="U241" s="241">
        <v>1</v>
      </c>
      <c r="V241" s="241">
        <v>1</v>
      </c>
      <c r="W241" s="223">
        <v>1</v>
      </c>
      <c r="X241" s="223">
        <v>1</v>
      </c>
    </row>
    <row r="242" spans="1:24">
      <c r="A242" s="48" t="str">
        <f t="shared" ca="1" si="52"/>
        <v>AKM24D</v>
      </c>
      <c r="B242" s="183">
        <v>31</v>
      </c>
      <c r="C242" s="183" t="s">
        <v>353</v>
      </c>
      <c r="D242" s="183">
        <v>1.41</v>
      </c>
      <c r="E242" s="183">
        <v>4.76</v>
      </c>
      <c r="F242" s="183">
        <v>1.1100000000000001</v>
      </c>
      <c r="G242" s="183">
        <v>8000</v>
      </c>
      <c r="H242" s="183">
        <v>0.27</v>
      </c>
      <c r="I242" s="183">
        <v>400</v>
      </c>
      <c r="K242">
        <v>400</v>
      </c>
      <c r="L242" s="219" t="s">
        <v>355</v>
      </c>
      <c r="M242" s="158"/>
      <c r="N242" s="220" t="s">
        <v>206</v>
      </c>
      <c r="O242" s="221" t="s">
        <v>207</v>
      </c>
      <c r="P242" s="222" t="s">
        <v>224</v>
      </c>
      <c r="Q242" s="220" t="str">
        <f t="shared" ca="1" si="49"/>
        <v>AKM33E-ANCNR-00</v>
      </c>
      <c r="R242" s="223">
        <v>34</v>
      </c>
      <c r="S242" s="241">
        <v>0</v>
      </c>
      <c r="T242" s="241">
        <v>0</v>
      </c>
      <c r="U242" s="241">
        <v>1</v>
      </c>
      <c r="V242" s="241">
        <v>1</v>
      </c>
      <c r="W242" s="223">
        <v>1</v>
      </c>
      <c r="X242" s="223">
        <v>1</v>
      </c>
    </row>
    <row r="243" spans="1:24">
      <c r="A243" s="48" t="str">
        <f t="shared" ca="1" si="52"/>
        <v>AKM31C</v>
      </c>
      <c r="B243" s="183">
        <v>32</v>
      </c>
      <c r="C243" s="183" t="s">
        <v>354</v>
      </c>
      <c r="D243" s="183">
        <v>1.1499999999999999</v>
      </c>
      <c r="E243" s="183">
        <v>3.88</v>
      </c>
      <c r="F243" s="183">
        <v>1</v>
      </c>
      <c r="G243" s="183">
        <v>5000</v>
      </c>
      <c r="H243" s="183">
        <v>0.33</v>
      </c>
      <c r="I243" s="183">
        <v>400</v>
      </c>
      <c r="K243">
        <v>400</v>
      </c>
      <c r="L243" s="224" t="s">
        <v>356</v>
      </c>
      <c r="M243" s="229"/>
      <c r="N243" s="226" t="s">
        <v>198</v>
      </c>
      <c r="O243" s="227" t="s">
        <v>200</v>
      </c>
      <c r="P243" s="226" t="s">
        <v>227</v>
      </c>
      <c r="Q243" s="225" t="str">
        <f t="shared" ca="1" si="49"/>
        <v>AKM41E-HNCNR-00</v>
      </c>
      <c r="R243" s="228">
        <v>35</v>
      </c>
      <c r="S243" s="242">
        <v>0</v>
      </c>
      <c r="T243" s="242">
        <v>0</v>
      </c>
      <c r="U243" s="242">
        <v>1</v>
      </c>
      <c r="V243" s="242">
        <v>0</v>
      </c>
      <c r="W243" s="228">
        <v>1</v>
      </c>
      <c r="X243" s="228">
        <v>1</v>
      </c>
    </row>
    <row r="244" spans="1:24">
      <c r="A244" s="48" t="str">
        <f t="shared" ca="1" si="52"/>
        <v>AKM32E</v>
      </c>
      <c r="B244" s="183">
        <v>33</v>
      </c>
      <c r="C244" s="183" t="s">
        <v>89</v>
      </c>
      <c r="D244" s="183">
        <v>2.04</v>
      </c>
      <c r="E244" s="193">
        <v>7.11</v>
      </c>
      <c r="F244" s="183">
        <v>1.5</v>
      </c>
      <c r="G244" s="183">
        <v>6500</v>
      </c>
      <c r="H244" s="183">
        <v>0.59</v>
      </c>
      <c r="I244" s="183">
        <v>400</v>
      </c>
      <c r="K244">
        <v>400</v>
      </c>
      <c r="L244" s="224" t="s">
        <v>357</v>
      </c>
      <c r="M244" s="229"/>
      <c r="N244" s="226" t="s">
        <v>198</v>
      </c>
      <c r="O244" s="227" t="s">
        <v>200</v>
      </c>
      <c r="P244" s="226" t="s">
        <v>227</v>
      </c>
      <c r="Q244" s="225" t="str">
        <f t="shared" ca="1" si="49"/>
        <v>AKM42G-HNCNR-00</v>
      </c>
      <c r="R244" s="228">
        <v>36</v>
      </c>
      <c r="S244" s="242">
        <v>0</v>
      </c>
      <c r="T244" s="242">
        <v>0</v>
      </c>
      <c r="U244" s="242">
        <v>1</v>
      </c>
      <c r="V244" s="242">
        <v>0</v>
      </c>
      <c r="W244" s="228">
        <v>1</v>
      </c>
      <c r="X244" s="228">
        <v>1</v>
      </c>
    </row>
    <row r="245" spans="1:24">
      <c r="A245" s="48" t="str">
        <f t="shared" ca="1" si="52"/>
        <v>AKM33E</v>
      </c>
      <c r="B245" s="183">
        <v>34</v>
      </c>
      <c r="C245" s="183" t="s">
        <v>355</v>
      </c>
      <c r="D245" s="183">
        <v>2.79</v>
      </c>
      <c r="E245" s="183">
        <v>9.9600000000000009</v>
      </c>
      <c r="F245" s="183">
        <v>2.34</v>
      </c>
      <c r="G245" s="183">
        <v>4500</v>
      </c>
      <c r="H245" s="183">
        <v>0.85</v>
      </c>
      <c r="I245" s="183">
        <v>400</v>
      </c>
      <c r="K245">
        <v>400</v>
      </c>
      <c r="L245" s="224" t="s">
        <v>358</v>
      </c>
      <c r="M245" s="229"/>
      <c r="N245" s="226" t="s">
        <v>198</v>
      </c>
      <c r="O245" s="227" t="s">
        <v>200</v>
      </c>
      <c r="P245" s="226" t="s">
        <v>227</v>
      </c>
      <c r="Q245" s="225" t="str">
        <f t="shared" ca="1" si="49"/>
        <v>AKM43H-HNCNR-00</v>
      </c>
      <c r="R245" s="228">
        <v>37</v>
      </c>
      <c r="S245" s="242">
        <v>0</v>
      </c>
      <c r="T245" s="242">
        <v>0</v>
      </c>
      <c r="U245" s="242">
        <v>1</v>
      </c>
      <c r="V245" s="242">
        <v>0</v>
      </c>
      <c r="W245" s="228">
        <v>1</v>
      </c>
      <c r="X245" s="228">
        <v>1</v>
      </c>
    </row>
    <row r="246" spans="1:24">
      <c r="A246" s="48" t="str">
        <f t="shared" ca="1" si="52"/>
        <v>AKM41E</v>
      </c>
      <c r="B246" s="183">
        <v>35</v>
      </c>
      <c r="C246" s="183" t="s">
        <v>356</v>
      </c>
      <c r="D246" s="183">
        <v>2.02</v>
      </c>
      <c r="E246" s="183">
        <v>6.28</v>
      </c>
      <c r="F246" s="183">
        <v>1.58</v>
      </c>
      <c r="G246" s="183">
        <v>6000</v>
      </c>
      <c r="H246" s="183">
        <v>0.81</v>
      </c>
      <c r="I246" s="183">
        <v>400</v>
      </c>
      <c r="K246">
        <v>400</v>
      </c>
      <c r="L246" s="230" t="s">
        <v>94</v>
      </c>
      <c r="M246" s="231"/>
      <c r="N246" s="232" t="s">
        <v>198</v>
      </c>
      <c r="O246" s="233" t="s">
        <v>200</v>
      </c>
      <c r="P246" s="232" t="s">
        <v>227</v>
      </c>
      <c r="Q246" s="234" t="str">
        <f t="shared" ca="1" si="49"/>
        <v>AKM44J-HNCNR-00</v>
      </c>
      <c r="R246" s="235">
        <v>38</v>
      </c>
      <c r="S246" s="242">
        <v>0</v>
      </c>
      <c r="T246" s="242">
        <v>0</v>
      </c>
      <c r="U246" s="242">
        <v>1</v>
      </c>
      <c r="V246" s="242">
        <v>0</v>
      </c>
      <c r="W246" s="228">
        <v>1</v>
      </c>
      <c r="X246" s="228">
        <v>1</v>
      </c>
    </row>
    <row r="247" spans="1:24">
      <c r="A247" s="48" t="str">
        <f t="shared" ca="1" si="52"/>
        <v>AKM42G</v>
      </c>
      <c r="B247" s="183">
        <v>36</v>
      </c>
      <c r="C247" s="183" t="s">
        <v>357</v>
      </c>
      <c r="D247" s="183">
        <v>3.53</v>
      </c>
      <c r="E247" s="183">
        <v>11.5</v>
      </c>
      <c r="F247" s="183">
        <v>2.35</v>
      </c>
      <c r="G247" s="183">
        <v>6000</v>
      </c>
      <c r="H247" s="183">
        <v>1.5</v>
      </c>
      <c r="I247" s="183">
        <v>400</v>
      </c>
      <c r="R247" s="46"/>
    </row>
    <row r="248" spans="1:24">
      <c r="A248" s="48" t="str">
        <f t="shared" ca="1" si="52"/>
        <v>AKM43H</v>
      </c>
      <c r="B248" s="183">
        <v>37</v>
      </c>
      <c r="C248" s="183" t="s">
        <v>358</v>
      </c>
      <c r="D248" s="183">
        <v>4.82</v>
      </c>
      <c r="E248" s="183">
        <v>16.100000000000001</v>
      </c>
      <c r="F248" s="183">
        <v>2.81</v>
      </c>
      <c r="G248" s="183">
        <v>5500</v>
      </c>
      <c r="H248" s="183">
        <v>2.1</v>
      </c>
      <c r="I248" s="183">
        <v>400</v>
      </c>
    </row>
    <row r="249" spans="1:24">
      <c r="A249" s="48" t="str">
        <f t="shared" ca="1" si="52"/>
        <v>AKM44J</v>
      </c>
      <c r="B249" s="183">
        <v>38</v>
      </c>
      <c r="C249" s="183" t="s">
        <v>94</v>
      </c>
      <c r="D249" s="183">
        <v>6</v>
      </c>
      <c r="E249" s="183">
        <v>20.399999999999999</v>
      </c>
      <c r="F249" s="183">
        <v>2.75</v>
      </c>
      <c r="G249" s="183">
        <v>6000</v>
      </c>
      <c r="H249" s="183">
        <v>2.7</v>
      </c>
      <c r="I249" s="183">
        <v>400</v>
      </c>
    </row>
    <row r="250" spans="1:24">
      <c r="A250" s="48"/>
      <c r="B250" s="183"/>
      <c r="D250" s="183"/>
      <c r="E250" s="183"/>
      <c r="F250" s="183"/>
      <c r="G250" s="183"/>
      <c r="H250" s="183"/>
      <c r="I250" s="183"/>
    </row>
    <row r="251" spans="1:24">
      <c r="A251" s="48"/>
      <c r="E251" s="183"/>
      <c r="F251" s="183"/>
      <c r="G251" s="183"/>
    </row>
    <row r="256" spans="1:24">
      <c r="A256" s="367" t="str">
        <f t="shared" ref="A256:A279" ca="1" si="53">IF($J$150=2,O357,"--")</f>
        <v>--</v>
      </c>
    </row>
    <row r="257" spans="1:40">
      <c r="A257" s="367" t="str">
        <f t="shared" ca="1" si="53"/>
        <v>--</v>
      </c>
    </row>
    <row r="258" spans="1:40">
      <c r="A258" s="367" t="str">
        <f t="shared" ca="1" si="53"/>
        <v>--</v>
      </c>
    </row>
    <row r="259" spans="1:40">
      <c r="A259" s="367" t="str">
        <f t="shared" ca="1" si="53"/>
        <v>--</v>
      </c>
    </row>
    <row r="260" spans="1:40">
      <c r="A260" s="367" t="str">
        <f t="shared" ca="1" si="53"/>
        <v>--</v>
      </c>
    </row>
    <row r="261" spans="1:40">
      <c r="A261" s="367" t="str">
        <f t="shared" ca="1" si="53"/>
        <v>--</v>
      </c>
    </row>
    <row r="262" spans="1:40">
      <c r="A262" s="367" t="str">
        <f t="shared" ca="1" si="53"/>
        <v>--</v>
      </c>
    </row>
    <row r="263" spans="1:40">
      <c r="A263" s="367" t="str">
        <f t="shared" ca="1" si="53"/>
        <v>--</v>
      </c>
    </row>
    <row r="264" spans="1:40">
      <c r="A264" s="367" t="str">
        <f t="shared" ca="1" si="53"/>
        <v>--</v>
      </c>
      <c r="AK264" s="797"/>
      <c r="AN264" s="797"/>
    </row>
    <row r="265" spans="1:40">
      <c r="A265" s="367" t="str">
        <f t="shared" ca="1" si="53"/>
        <v>--</v>
      </c>
      <c r="AK265" s="797"/>
    </row>
    <row r="266" spans="1:40">
      <c r="A266" s="367" t="str">
        <f t="shared" ca="1" si="53"/>
        <v>--</v>
      </c>
      <c r="AK266" s="797"/>
    </row>
    <row r="267" spans="1:40">
      <c r="A267" s="367" t="str">
        <f t="shared" ca="1" si="53"/>
        <v>--</v>
      </c>
      <c r="Y267" s="34"/>
    </row>
    <row r="268" spans="1:40">
      <c r="A268" s="367" t="str">
        <f t="shared" ca="1" si="53"/>
        <v>--</v>
      </c>
    </row>
    <row r="269" spans="1:40">
      <c r="A269" s="367" t="str">
        <f t="shared" ca="1" si="53"/>
        <v>--</v>
      </c>
    </row>
    <row r="270" spans="1:40">
      <c r="A270" s="367" t="str">
        <f t="shared" ca="1" si="53"/>
        <v>--</v>
      </c>
    </row>
    <row r="271" spans="1:40">
      <c r="A271" s="367" t="str">
        <f t="shared" ca="1" si="53"/>
        <v>--</v>
      </c>
    </row>
    <row r="272" spans="1:40">
      <c r="A272" s="367" t="str">
        <f t="shared" ca="1" si="53"/>
        <v>--</v>
      </c>
    </row>
    <row r="273" spans="1:1">
      <c r="A273" s="367" t="str">
        <f t="shared" ca="1" si="53"/>
        <v>--</v>
      </c>
    </row>
    <row r="274" spans="1:1">
      <c r="A274" s="367" t="str">
        <f t="shared" ca="1" si="53"/>
        <v>--</v>
      </c>
    </row>
    <row r="275" spans="1:1">
      <c r="A275" s="367" t="str">
        <f t="shared" ca="1" si="53"/>
        <v>--</v>
      </c>
    </row>
    <row r="276" spans="1:1">
      <c r="A276" s="367" t="str">
        <f t="shared" ca="1" si="53"/>
        <v>--</v>
      </c>
    </row>
    <row r="277" spans="1:1">
      <c r="A277" s="367" t="str">
        <f t="shared" ca="1" si="53"/>
        <v>--</v>
      </c>
    </row>
    <row r="278" spans="1:1">
      <c r="A278" s="367" t="str">
        <f t="shared" ca="1" si="53"/>
        <v>--</v>
      </c>
    </row>
    <row r="279" spans="1:1">
      <c r="A279" s="367" t="str">
        <f t="shared" ca="1" si="53"/>
        <v>--</v>
      </c>
    </row>
    <row r="298" spans="41:44" s="367" customFormat="1">
      <c r="AO298" s="776"/>
      <c r="AR298" s="776"/>
    </row>
    <row r="299" spans="41:44" s="367" customFormat="1">
      <c r="AO299" s="776"/>
      <c r="AR299" s="776"/>
    </row>
    <row r="300" spans="41:44" s="367" customFormat="1">
      <c r="AO300" s="776"/>
      <c r="AR300" s="776"/>
    </row>
    <row r="301" spans="41:44" s="367" customFormat="1">
      <c r="AO301" s="776"/>
      <c r="AR301" s="776"/>
    </row>
    <row r="302" spans="41:44" s="367" customFormat="1">
      <c r="AO302" s="776"/>
      <c r="AR302" s="776"/>
    </row>
    <row r="303" spans="41:44" s="367" customFormat="1">
      <c r="AO303" s="776"/>
      <c r="AR303" s="776"/>
    </row>
    <row r="304" spans="41:44" s="367" customFormat="1">
      <c r="AO304" s="776"/>
      <c r="AR304" s="776"/>
    </row>
    <row r="306" spans="36:44" s="367" customFormat="1">
      <c r="AO306" s="776"/>
      <c r="AR306" s="776"/>
    </row>
    <row r="307" spans="36:44" s="367" customFormat="1">
      <c r="AO307" s="776"/>
      <c r="AR307" s="776"/>
    </row>
    <row r="308" spans="36:44" s="367" customFormat="1">
      <c r="AO308" s="776"/>
      <c r="AR308" s="776"/>
    </row>
    <row r="309" spans="36:44" s="367" customFormat="1">
      <c r="AO309" s="776"/>
      <c r="AR309" s="776"/>
    </row>
    <row r="310" spans="36:44" s="367" customFormat="1">
      <c r="AO310" s="776"/>
      <c r="AR310" s="776"/>
    </row>
    <row r="311" spans="36:44" s="367" customFormat="1">
      <c r="AO311" s="776"/>
      <c r="AR311" s="776"/>
    </row>
    <row r="312" spans="36:44" s="367" customFormat="1">
      <c r="AO312" s="776"/>
      <c r="AR312" s="776"/>
    </row>
    <row r="313" spans="36:44" s="367" customFormat="1">
      <c r="AO313" s="776"/>
      <c r="AR313" s="776"/>
    </row>
    <row r="320" spans="36:44">
      <c r="AJ320" s="127"/>
      <c r="AK320" s="127"/>
    </row>
    <row r="352" ht="15.75" thickBot="1"/>
    <row r="353" spans="1:36">
      <c r="A353" s="353"/>
      <c r="B353" s="354"/>
      <c r="C353" s="354"/>
      <c r="D353" s="354"/>
      <c r="E353" s="354"/>
      <c r="F353" s="354"/>
      <c r="G353" s="354"/>
      <c r="H353" s="354"/>
      <c r="I353" s="354"/>
      <c r="J353" s="354"/>
      <c r="K353" s="354"/>
      <c r="L353" s="354"/>
      <c r="M353" s="354"/>
      <c r="N353" s="882"/>
      <c r="O353" s="883"/>
      <c r="P353" s="883"/>
      <c r="Q353" s="883"/>
      <c r="R353" s="883"/>
      <c r="S353" s="883"/>
      <c r="T353" s="883"/>
      <c r="U353" s="883"/>
      <c r="V353" s="883"/>
      <c r="W353" s="883"/>
      <c r="X353" s="883"/>
      <c r="Y353" s="883"/>
      <c r="Z353" s="883"/>
      <c r="AA353" s="883"/>
      <c r="AB353" s="883"/>
      <c r="AC353" s="883"/>
      <c r="AD353" s="883"/>
      <c r="AE353" s="883"/>
      <c r="AF353" s="883"/>
      <c r="AG353" s="883"/>
      <c r="AH353" s="883"/>
      <c r="AI353" s="883"/>
      <c r="AJ353" s="884"/>
    </row>
    <row r="354" spans="1:36" ht="26.25">
      <c r="A354" s="355"/>
      <c r="B354" s="34"/>
      <c r="C354" s="348" t="s">
        <v>468</v>
      </c>
      <c r="D354" s="34"/>
      <c r="E354" s="34"/>
      <c r="F354" s="34"/>
      <c r="G354" s="34"/>
      <c r="H354" s="34"/>
      <c r="I354" s="34"/>
      <c r="J354" s="34"/>
      <c r="K354" s="34"/>
      <c r="L354" s="34"/>
      <c r="M354" s="34"/>
      <c r="N354" s="885"/>
      <c r="O354" s="34"/>
      <c r="P354" s="279" t="s">
        <v>100</v>
      </c>
      <c r="Q354" s="279" t="s">
        <v>101</v>
      </c>
      <c r="R354" s="279" t="s">
        <v>102</v>
      </c>
      <c r="S354" s="279" t="s">
        <v>103</v>
      </c>
      <c r="T354" s="279" t="s">
        <v>79</v>
      </c>
      <c r="U354" s="279" t="s">
        <v>183</v>
      </c>
      <c r="V354" s="279" t="s">
        <v>375</v>
      </c>
      <c r="W354" s="34"/>
      <c r="X354" s="34"/>
      <c r="Y354" s="34"/>
      <c r="Z354" s="34"/>
      <c r="AA354" s="34"/>
      <c r="AB354" s="34"/>
      <c r="AC354" s="34"/>
      <c r="AD354" s="34"/>
      <c r="AE354" s="34"/>
      <c r="AF354" s="34"/>
      <c r="AG354" s="34"/>
      <c r="AH354" s="34"/>
      <c r="AI354" s="886" t="s">
        <v>335</v>
      </c>
      <c r="AJ354" s="887"/>
    </row>
    <row r="355" spans="1:36">
      <c r="A355" s="355"/>
      <c r="B355" s="34"/>
      <c r="C355" s="34"/>
      <c r="D355" s="34"/>
      <c r="E355" s="34"/>
      <c r="F355" s="34"/>
      <c r="G355" s="34"/>
      <c r="H355" s="34"/>
      <c r="I355" s="34"/>
      <c r="J355" s="34"/>
      <c r="K355" s="34"/>
      <c r="L355" s="34"/>
      <c r="M355" s="34"/>
      <c r="N355" s="885" t="s">
        <v>115</v>
      </c>
      <c r="O355" s="34"/>
      <c r="P355" s="279" t="s">
        <v>7</v>
      </c>
      <c r="Q355" s="279" t="s">
        <v>7</v>
      </c>
      <c r="R355" s="279" t="s">
        <v>7</v>
      </c>
      <c r="S355" s="279" t="s">
        <v>17</v>
      </c>
      <c r="T355" s="279" t="s">
        <v>80</v>
      </c>
      <c r="U355" s="34"/>
      <c r="V355" s="34"/>
      <c r="W355" s="34"/>
      <c r="X355" s="34"/>
      <c r="Y355" s="79" t="s">
        <v>220</v>
      </c>
      <c r="Z355" s="73">
        <v>1</v>
      </c>
      <c r="AA355" s="73">
        <v>2</v>
      </c>
      <c r="AB355" s="73">
        <v>3</v>
      </c>
      <c r="AC355" s="73">
        <v>4</v>
      </c>
      <c r="AD355" s="73">
        <v>5</v>
      </c>
      <c r="AE355" s="73">
        <v>6</v>
      </c>
      <c r="AF355" s="73">
        <v>7</v>
      </c>
      <c r="AG355" s="73">
        <v>8</v>
      </c>
      <c r="AH355" s="73">
        <v>9</v>
      </c>
      <c r="AI355" s="179" t="s">
        <v>219</v>
      </c>
      <c r="AJ355" s="887"/>
    </row>
    <row r="356" spans="1:36">
      <c r="A356" s="355"/>
      <c r="B356" s="256" t="s">
        <v>250</v>
      </c>
      <c r="C356" s="281"/>
      <c r="D356" s="281"/>
      <c r="E356" s="281"/>
      <c r="F356" s="281"/>
      <c r="G356" s="257"/>
      <c r="H356" s="34"/>
      <c r="I356" s="34"/>
      <c r="J356" s="34"/>
      <c r="K356" s="34"/>
      <c r="L356" s="34"/>
      <c r="M356" s="34"/>
      <c r="N356" s="888" t="e">
        <f ca="1">IF($J$170=1,VLOOKUP($C$150,$A$256:$I$263,2,FALSE),IF($J$170=2,VLOOKUP($C$150,$A$264:$I$271,2,FALSE),IF($J$170=3,VLOOKUP($C$150,$A$272:$I$279,2,FALSE))))</f>
        <v>#N/A</v>
      </c>
      <c r="O356" s="889" t="e">
        <f ca="1">VLOOKUP(N356,N357:T380,2)</f>
        <v>#N/A</v>
      </c>
      <c r="P356" s="236" t="e">
        <f ca="1">VLOOKUP(N356,N357:T380,3)</f>
        <v>#N/A</v>
      </c>
      <c r="Q356" s="236" t="e">
        <f ca="1">VLOOKUP(N356,N357:T380,4)</f>
        <v>#N/A</v>
      </c>
      <c r="R356" s="236" t="e">
        <f ca="1">VLOOKUP(N356,N357:T380,5)</f>
        <v>#N/A</v>
      </c>
      <c r="S356" s="236" t="e">
        <f ca="1">VLOOKUP(N356,N357:T380,6)</f>
        <v>#N/A</v>
      </c>
      <c r="T356" s="236" t="e">
        <f ca="1">VLOOKUP(N356,N357:T380,7)</f>
        <v>#N/A</v>
      </c>
      <c r="U356" s="34"/>
      <c r="V356" s="890" t="str">
        <f ca="1">K170</f>
        <v>240</v>
      </c>
      <c r="W356" s="34"/>
      <c r="X356" s="34"/>
      <c r="Y356" s="128" t="s">
        <v>209</v>
      </c>
      <c r="Z356" s="34" t="s">
        <v>239</v>
      </c>
      <c r="AA356" s="34" t="s">
        <v>192</v>
      </c>
      <c r="AB356" s="34" t="s">
        <v>240</v>
      </c>
      <c r="AC356" s="34" t="s">
        <v>221</v>
      </c>
      <c r="AD356" s="34" t="s">
        <v>241</v>
      </c>
      <c r="AE356" s="34" t="s">
        <v>242</v>
      </c>
      <c r="AF356" s="34" t="s">
        <v>243</v>
      </c>
      <c r="AG356" s="34" t="s">
        <v>244</v>
      </c>
      <c r="AH356" s="34" t="s">
        <v>245</v>
      </c>
      <c r="AI356" s="180"/>
      <c r="AJ356" s="887"/>
    </row>
    <row r="357" spans="1:36">
      <c r="A357" s="355"/>
      <c r="B357" s="67"/>
      <c r="C357" s="152" t="s">
        <v>244</v>
      </c>
      <c r="D357" s="34" t="s">
        <v>254</v>
      </c>
      <c r="E357" s="34"/>
      <c r="F357" s="152" t="s">
        <v>245</v>
      </c>
      <c r="G357" s="74" t="s">
        <v>254</v>
      </c>
      <c r="H357" s="34"/>
      <c r="I357" s="34"/>
      <c r="J357" s="34"/>
      <c r="K357" s="34"/>
      <c r="L357" s="34"/>
      <c r="M357" s="34"/>
      <c r="N357" s="891">
        <v>1</v>
      </c>
      <c r="O357" s="34" t="s">
        <v>477</v>
      </c>
      <c r="P357" s="143">
        <v>0.51</v>
      </c>
      <c r="Q357" s="143">
        <v>0.51</v>
      </c>
      <c r="R357" s="143">
        <v>0.51</v>
      </c>
      <c r="S357" s="143">
        <v>900</v>
      </c>
      <c r="T357" s="143">
        <v>0.12</v>
      </c>
      <c r="U357" s="143">
        <v>121</v>
      </c>
      <c r="V357" s="143">
        <v>12</v>
      </c>
      <c r="W357" s="34"/>
      <c r="X357" s="34"/>
      <c r="Y357" s="67">
        <v>1</v>
      </c>
      <c r="Z357" s="34" t="s">
        <v>246</v>
      </c>
      <c r="AA357" s="34">
        <v>23</v>
      </c>
      <c r="AB357" s="34">
        <v>10</v>
      </c>
      <c r="AC357" s="149" t="s">
        <v>247</v>
      </c>
      <c r="AD357" s="34">
        <v>10</v>
      </c>
      <c r="AE357" s="149" t="s">
        <v>290</v>
      </c>
      <c r="AF357" s="34" t="s">
        <v>6</v>
      </c>
      <c r="AG357" s="34" t="str">
        <f t="shared" ref="AG357:AG380" ca="1" si="54">$D$358</f>
        <v>NA for PMX</v>
      </c>
      <c r="AH357" s="116" t="str">
        <f t="shared" ref="AH357:AH380" ca="1" si="55">$G$358</f>
        <v>NA for PMX</v>
      </c>
      <c r="AI357" s="180" t="str">
        <f t="shared" ref="AI357:AI380" ca="1" si="56">CONCATENATE(Z357,AA357,AB357,AC357,AD357,AE357,AF357,AG357,AH357)</f>
        <v>PMX2310-J10-BNNA for PMXNA for PMX</v>
      </c>
      <c r="AJ357" s="887"/>
    </row>
    <row r="358" spans="1:36">
      <c r="A358" s="355"/>
      <c r="B358" s="92" t="e">
        <f>LOOKUP(C358,C359:C360,B359:B360)</f>
        <v>#N/A</v>
      </c>
      <c r="C358" s="87" t="str">
        <f>Input!B34</f>
        <v>No</v>
      </c>
      <c r="D358" s="87" t="str">
        <f ca="1">IF($J$150=2,IF(B358=1,"0","R"),"NA for PMX")</f>
        <v>NA for PMX</v>
      </c>
      <c r="E358" s="87">
        <f>LOOKUP(F358,F359:F360,E359:E360)</f>
        <v>1</v>
      </c>
      <c r="F358" s="87" t="str">
        <f>Input!C34</f>
        <v>R-Resolver (standard)</v>
      </c>
      <c r="G358" s="88" t="str">
        <f ca="1">IF($J$150=2,"-"&amp;IF(E358=1,"00","01"),"NA for PMX")</f>
        <v>NA for PMX</v>
      </c>
      <c r="H358" s="34"/>
      <c r="I358" s="34"/>
      <c r="J358" s="34"/>
      <c r="K358" s="34"/>
      <c r="L358" s="34"/>
      <c r="M358" s="34"/>
      <c r="N358" s="891">
        <v>2</v>
      </c>
      <c r="O358" s="34" t="s">
        <v>478</v>
      </c>
      <c r="P358" s="143">
        <v>1.02</v>
      </c>
      <c r="Q358" s="143">
        <v>1.02</v>
      </c>
      <c r="R358" s="143">
        <v>1.02</v>
      </c>
      <c r="S358" s="143">
        <v>500</v>
      </c>
      <c r="T358" s="143">
        <v>0.30099999999999999</v>
      </c>
      <c r="U358" s="143">
        <v>121</v>
      </c>
      <c r="V358" s="143">
        <v>12</v>
      </c>
      <c r="W358" s="34"/>
      <c r="X358" s="34"/>
      <c r="Y358" s="67">
        <v>2</v>
      </c>
      <c r="Z358" s="34" t="s">
        <v>246</v>
      </c>
      <c r="AA358" s="34">
        <v>23</v>
      </c>
      <c r="AB358" s="34">
        <v>20</v>
      </c>
      <c r="AC358" s="149" t="s">
        <v>247</v>
      </c>
      <c r="AD358" s="34">
        <v>10</v>
      </c>
      <c r="AE358" s="149" t="s">
        <v>290</v>
      </c>
      <c r="AF358" s="34" t="s">
        <v>6</v>
      </c>
      <c r="AG358" s="34" t="str">
        <f t="shared" ca="1" si="54"/>
        <v>NA for PMX</v>
      </c>
      <c r="AH358" s="116" t="str">
        <f t="shared" ca="1" si="55"/>
        <v>NA for PMX</v>
      </c>
      <c r="AI358" s="180" t="str">
        <f t="shared" ca="1" si="56"/>
        <v>PMX2320-J10-BNNA for PMXNA for PMX</v>
      </c>
      <c r="AJ358" s="887"/>
    </row>
    <row r="359" spans="1:36">
      <c r="A359" s="355"/>
      <c r="B359" s="67">
        <v>1</v>
      </c>
      <c r="C359" s="34" t="s">
        <v>252</v>
      </c>
      <c r="D359" s="34"/>
      <c r="E359" s="34">
        <v>1</v>
      </c>
      <c r="F359" s="34" t="s">
        <v>251</v>
      </c>
      <c r="G359" s="68"/>
      <c r="H359" s="34"/>
      <c r="I359" s="34"/>
      <c r="J359" s="34"/>
      <c r="K359" s="34"/>
      <c r="L359" s="34"/>
      <c r="M359" s="34"/>
      <c r="N359" s="891">
        <v>3</v>
      </c>
      <c r="O359" s="34" t="s">
        <v>479</v>
      </c>
      <c r="P359" s="143">
        <v>1.66</v>
      </c>
      <c r="Q359" s="143">
        <v>1.66</v>
      </c>
      <c r="R359" s="143">
        <v>1.66</v>
      </c>
      <c r="S359" s="143">
        <v>370</v>
      </c>
      <c r="T359" s="143">
        <v>0.48199999999999998</v>
      </c>
      <c r="U359" s="143">
        <v>121</v>
      </c>
      <c r="V359" s="143">
        <v>12</v>
      </c>
      <c r="W359" s="91" t="s">
        <v>228</v>
      </c>
      <c r="X359" s="71"/>
      <c r="Y359" s="67">
        <v>3</v>
      </c>
      <c r="Z359" s="34" t="s">
        <v>246</v>
      </c>
      <c r="AA359" s="34">
        <v>23</v>
      </c>
      <c r="AB359" s="34">
        <v>30</v>
      </c>
      <c r="AC359" s="149" t="s">
        <v>247</v>
      </c>
      <c r="AD359" s="34">
        <v>10</v>
      </c>
      <c r="AE359" s="149" t="s">
        <v>290</v>
      </c>
      <c r="AF359" s="34" t="s">
        <v>6</v>
      </c>
      <c r="AG359" s="34" t="str">
        <f t="shared" ca="1" si="54"/>
        <v>NA for PMX</v>
      </c>
      <c r="AH359" s="116" t="str">
        <f t="shared" ca="1" si="55"/>
        <v>NA for PMX</v>
      </c>
      <c r="AI359" s="180" t="str">
        <f t="shared" ca="1" si="56"/>
        <v>PMX2330-J10-BNNA for PMXNA for PMX</v>
      </c>
      <c r="AJ359" s="887"/>
    </row>
    <row r="360" spans="1:36">
      <c r="A360" s="355"/>
      <c r="B360" s="72">
        <v>2</v>
      </c>
      <c r="C360" s="89" t="s">
        <v>244</v>
      </c>
      <c r="D360" s="89"/>
      <c r="E360" s="89">
        <v>2</v>
      </c>
      <c r="F360" s="89" t="s">
        <v>253</v>
      </c>
      <c r="G360" s="90"/>
      <c r="H360" s="34"/>
      <c r="I360" s="34"/>
      <c r="J360" s="34"/>
      <c r="K360" s="34"/>
      <c r="L360" s="34"/>
      <c r="M360" s="34"/>
      <c r="N360" s="891">
        <v>4</v>
      </c>
      <c r="O360" s="34" t="s">
        <v>480</v>
      </c>
      <c r="P360" s="143">
        <v>1.91</v>
      </c>
      <c r="Q360" s="143">
        <v>1.91</v>
      </c>
      <c r="R360" s="143">
        <v>1.91</v>
      </c>
      <c r="S360" s="143">
        <v>470</v>
      </c>
      <c r="T360" s="143">
        <v>0.52100000000000002</v>
      </c>
      <c r="U360" s="143">
        <v>121</v>
      </c>
      <c r="V360" s="143">
        <v>12</v>
      </c>
      <c r="W360" s="67" t="s">
        <v>17</v>
      </c>
      <c r="X360" s="68" t="s">
        <v>142</v>
      </c>
      <c r="Y360" s="67">
        <v>4</v>
      </c>
      <c r="Z360" s="34" t="s">
        <v>246</v>
      </c>
      <c r="AA360" s="34">
        <v>23</v>
      </c>
      <c r="AB360" s="34">
        <v>40</v>
      </c>
      <c r="AC360" s="149" t="s">
        <v>248</v>
      </c>
      <c r="AD360" s="34">
        <v>10</v>
      </c>
      <c r="AE360" s="149" t="s">
        <v>290</v>
      </c>
      <c r="AF360" s="34" t="s">
        <v>6</v>
      </c>
      <c r="AG360" s="34" t="str">
        <f t="shared" ca="1" si="54"/>
        <v>NA for PMX</v>
      </c>
      <c r="AH360" s="116" t="str">
        <f t="shared" ca="1" si="55"/>
        <v>NA for PMX</v>
      </c>
      <c r="AI360" s="180" t="str">
        <f t="shared" ca="1" si="56"/>
        <v>PMX2340-A10-BNNA for PMXNA for PMX</v>
      </c>
      <c r="AJ360" s="887"/>
    </row>
    <row r="361" spans="1:36">
      <c r="A361" s="355"/>
      <c r="B361" s="34"/>
      <c r="C361" s="34"/>
      <c r="D361" s="34"/>
      <c r="E361" s="34"/>
      <c r="F361" s="34"/>
      <c r="G361" s="34"/>
      <c r="H361" s="34"/>
      <c r="I361" s="34"/>
      <c r="J361" s="34"/>
      <c r="K361" s="34"/>
      <c r="L361" s="34"/>
      <c r="M361" s="34"/>
      <c r="N361" s="891">
        <v>5</v>
      </c>
      <c r="O361" s="34" t="s">
        <v>481</v>
      </c>
      <c r="P361" s="143">
        <v>2.4700000000000002</v>
      </c>
      <c r="Q361" s="143">
        <v>2.4700000000000002</v>
      </c>
      <c r="R361" s="143">
        <v>2.4700000000000002</v>
      </c>
      <c r="S361" s="143">
        <v>260</v>
      </c>
      <c r="T361" s="143">
        <v>1</v>
      </c>
      <c r="U361" s="142" t="s">
        <v>1900</v>
      </c>
      <c r="V361" s="143">
        <v>12</v>
      </c>
      <c r="W361" s="133">
        <f>Input!F49</f>
        <v>20</v>
      </c>
      <c r="X361" s="83" t="e">
        <f t="shared" ref="X361:X367" ca="1" si="57">$R$356*(1-W361/$S$356)</f>
        <v>#N/A</v>
      </c>
      <c r="Y361" s="67">
        <v>5</v>
      </c>
      <c r="Z361" s="34" t="s">
        <v>246</v>
      </c>
      <c r="AA361" s="34">
        <v>34</v>
      </c>
      <c r="AB361" s="34">
        <v>10</v>
      </c>
      <c r="AC361" s="149" t="s">
        <v>248</v>
      </c>
      <c r="AD361" s="34">
        <v>10</v>
      </c>
      <c r="AE361" s="149" t="s">
        <v>290</v>
      </c>
      <c r="AF361" s="34" t="s">
        <v>6</v>
      </c>
      <c r="AG361" s="34" t="str">
        <f t="shared" ca="1" si="54"/>
        <v>NA for PMX</v>
      </c>
      <c r="AH361" s="116" t="str">
        <f t="shared" ca="1" si="55"/>
        <v>NA for PMX</v>
      </c>
      <c r="AI361" s="180" t="str">
        <f t="shared" ca="1" si="56"/>
        <v>PMX3410-A10-BNNA for PMXNA for PMX</v>
      </c>
      <c r="AJ361" s="887"/>
    </row>
    <row r="362" spans="1:36">
      <c r="A362" s="355"/>
      <c r="B362" s="34"/>
      <c r="C362" s="34"/>
      <c r="D362" s="34"/>
      <c r="E362" s="34"/>
      <c r="F362" s="34"/>
      <c r="G362" s="34"/>
      <c r="H362" s="34"/>
      <c r="I362" s="34"/>
      <c r="J362" s="34"/>
      <c r="K362" s="34"/>
      <c r="L362" s="34"/>
      <c r="M362" s="34"/>
      <c r="N362" s="891">
        <v>6</v>
      </c>
      <c r="O362" s="34" t="s">
        <v>482</v>
      </c>
      <c r="P362" s="143">
        <v>3.5</v>
      </c>
      <c r="Q362" s="143">
        <v>3.5</v>
      </c>
      <c r="R362" s="143">
        <v>3.5</v>
      </c>
      <c r="S362" s="143">
        <v>200</v>
      </c>
      <c r="T362" s="143">
        <v>1.41</v>
      </c>
      <c r="U362" s="142" t="s">
        <v>1900</v>
      </c>
      <c r="V362" s="143">
        <v>12</v>
      </c>
      <c r="W362" s="133">
        <f>Input!F50</f>
        <v>6</v>
      </c>
      <c r="X362" s="83" t="e">
        <f t="shared" ca="1" si="57"/>
        <v>#N/A</v>
      </c>
      <c r="Y362" s="67">
        <v>6</v>
      </c>
      <c r="Z362" s="34" t="s">
        <v>246</v>
      </c>
      <c r="AA362" s="34">
        <v>34</v>
      </c>
      <c r="AB362" s="34">
        <v>20</v>
      </c>
      <c r="AC362" s="149" t="s">
        <v>248</v>
      </c>
      <c r="AD362" s="34">
        <v>10</v>
      </c>
      <c r="AE362" s="149" t="s">
        <v>290</v>
      </c>
      <c r="AF362" s="34" t="s">
        <v>6</v>
      </c>
      <c r="AG362" s="34" t="str">
        <f t="shared" ca="1" si="54"/>
        <v>NA for PMX</v>
      </c>
      <c r="AH362" s="116" t="str">
        <f t="shared" ca="1" si="55"/>
        <v>NA for PMX</v>
      </c>
      <c r="AI362" s="180" t="str">
        <f t="shared" ca="1" si="56"/>
        <v>PMX3420-A10-BNNA for PMXNA for PMX</v>
      </c>
      <c r="AJ362" s="887"/>
    </row>
    <row r="363" spans="1:36">
      <c r="A363" s="355"/>
      <c r="B363" s="34"/>
      <c r="C363" s="34"/>
      <c r="D363" s="34"/>
      <c r="E363" s="34"/>
      <c r="F363" s="34"/>
      <c r="G363" s="34"/>
      <c r="H363" s="34"/>
      <c r="I363" s="34"/>
      <c r="J363" s="34"/>
      <c r="K363" s="34"/>
      <c r="L363" s="34"/>
      <c r="M363" s="34"/>
      <c r="N363" s="891">
        <v>7</v>
      </c>
      <c r="O363" s="34" t="s">
        <v>483</v>
      </c>
      <c r="P363" s="143">
        <v>6.35</v>
      </c>
      <c r="Q363" s="143">
        <v>6.35</v>
      </c>
      <c r="R363" s="143">
        <v>6.35</v>
      </c>
      <c r="S363" s="143">
        <v>110</v>
      </c>
      <c r="T363" s="143">
        <v>2.7</v>
      </c>
      <c r="U363" s="142" t="s">
        <v>1900</v>
      </c>
      <c r="V363" s="143">
        <v>12</v>
      </c>
      <c r="W363" s="133">
        <f>Input!F51</f>
        <v>15</v>
      </c>
      <c r="X363" s="83" t="e">
        <f t="shared" ca="1" si="57"/>
        <v>#N/A</v>
      </c>
      <c r="Y363" s="67">
        <v>7</v>
      </c>
      <c r="Z363" s="34" t="s">
        <v>246</v>
      </c>
      <c r="AA363" s="34">
        <v>34</v>
      </c>
      <c r="AB363" s="34">
        <v>30</v>
      </c>
      <c r="AC363" s="149" t="s">
        <v>249</v>
      </c>
      <c r="AD363" s="34">
        <v>10</v>
      </c>
      <c r="AE363" s="149" t="s">
        <v>290</v>
      </c>
      <c r="AF363" s="34" t="s">
        <v>6</v>
      </c>
      <c r="AG363" s="34" t="str">
        <f t="shared" ca="1" si="54"/>
        <v>NA for PMX</v>
      </c>
      <c r="AH363" s="116" t="str">
        <f t="shared" ca="1" si="55"/>
        <v>NA for PMX</v>
      </c>
      <c r="AI363" s="180" t="str">
        <f t="shared" ca="1" si="56"/>
        <v>PMX3430-D10-BNNA for PMXNA for PMX</v>
      </c>
      <c r="AJ363" s="887"/>
    </row>
    <row r="364" spans="1:36">
      <c r="A364" s="355"/>
      <c r="B364" s="79" t="s">
        <v>236</v>
      </c>
      <c r="C364" s="73" t="s">
        <v>235</v>
      </c>
      <c r="D364" s="73"/>
      <c r="E364" s="139" t="s">
        <v>213</v>
      </c>
      <c r="F364" s="139" t="s">
        <v>214</v>
      </c>
      <c r="G364" s="139" t="s">
        <v>215</v>
      </c>
      <c r="H364" s="139" t="s">
        <v>216</v>
      </c>
      <c r="I364" s="139" t="s">
        <v>217</v>
      </c>
      <c r="J364" s="140" t="s">
        <v>218</v>
      </c>
      <c r="K364" s="34"/>
      <c r="L364" s="34"/>
      <c r="M364" s="34"/>
      <c r="N364" s="891">
        <v>8</v>
      </c>
      <c r="O364" s="34" t="s">
        <v>484</v>
      </c>
      <c r="P364" s="143">
        <v>8.5</v>
      </c>
      <c r="Q364" s="143">
        <v>8.5</v>
      </c>
      <c r="R364" s="143">
        <v>8.5</v>
      </c>
      <c r="S364" s="143">
        <v>100</v>
      </c>
      <c r="T364" s="143">
        <v>4.01</v>
      </c>
      <c r="U364" s="142" t="s">
        <v>1900</v>
      </c>
      <c r="V364" s="143">
        <v>12</v>
      </c>
      <c r="W364" s="133">
        <f>Input!F52</f>
        <v>6</v>
      </c>
      <c r="X364" s="83" t="e">
        <f t="shared" ca="1" si="57"/>
        <v>#N/A</v>
      </c>
      <c r="Y364" s="67">
        <v>8</v>
      </c>
      <c r="Z364" s="34" t="s">
        <v>246</v>
      </c>
      <c r="AA364" s="34">
        <v>34</v>
      </c>
      <c r="AB364" s="34">
        <v>40</v>
      </c>
      <c r="AC364" s="149" t="s">
        <v>249</v>
      </c>
      <c r="AD364" s="34">
        <v>10</v>
      </c>
      <c r="AE364" s="149" t="s">
        <v>290</v>
      </c>
      <c r="AF364" s="34" t="s">
        <v>6</v>
      </c>
      <c r="AG364" s="34" t="str">
        <f t="shared" ca="1" si="54"/>
        <v>NA for PMX</v>
      </c>
      <c r="AH364" s="116" t="str">
        <f t="shared" ca="1" si="55"/>
        <v>NA for PMX</v>
      </c>
      <c r="AI364" s="180" t="str">
        <f t="shared" ca="1" si="56"/>
        <v>PMX3440-D10-BNNA for PMXNA for PMX</v>
      </c>
      <c r="AJ364" s="887"/>
    </row>
    <row r="365" spans="1:36">
      <c r="A365" s="355"/>
      <c r="B365" s="67">
        <v>1</v>
      </c>
      <c r="C365" s="111" t="s">
        <v>140</v>
      </c>
      <c r="D365" s="141"/>
      <c r="E365" s="142">
        <v>92</v>
      </c>
      <c r="F365" s="142">
        <v>92</v>
      </c>
      <c r="G365" s="143">
        <v>92</v>
      </c>
      <c r="H365" s="143">
        <v>92</v>
      </c>
      <c r="I365" s="143">
        <v>92</v>
      </c>
      <c r="J365" s="144">
        <v>92</v>
      </c>
      <c r="K365" s="34"/>
      <c r="L365" s="34"/>
      <c r="M365" s="34"/>
      <c r="N365" s="891">
        <v>9</v>
      </c>
      <c r="O365" s="34" t="s">
        <v>477</v>
      </c>
      <c r="P365" s="143">
        <v>0.51</v>
      </c>
      <c r="Q365" s="143">
        <v>0.51</v>
      </c>
      <c r="R365" s="143">
        <v>0.51</v>
      </c>
      <c r="S365" s="143">
        <v>1800</v>
      </c>
      <c r="T365" s="143">
        <v>0.12</v>
      </c>
      <c r="U365" s="143">
        <v>121</v>
      </c>
      <c r="V365" s="143">
        <v>24</v>
      </c>
      <c r="W365" s="133">
        <f>Input!F53</f>
        <v>12</v>
      </c>
      <c r="X365" s="83" t="e">
        <f t="shared" ca="1" si="57"/>
        <v>#N/A</v>
      </c>
      <c r="Y365" s="67">
        <v>9</v>
      </c>
      <c r="Z365" s="34" t="s">
        <v>246</v>
      </c>
      <c r="AA365" s="34">
        <v>23</v>
      </c>
      <c r="AB365" s="34">
        <v>10</v>
      </c>
      <c r="AC365" s="149" t="s">
        <v>247</v>
      </c>
      <c r="AD365" s="34">
        <v>10</v>
      </c>
      <c r="AE365" s="149" t="s">
        <v>290</v>
      </c>
      <c r="AF365" s="34" t="s">
        <v>6</v>
      </c>
      <c r="AG365" s="34" t="str">
        <f t="shared" ca="1" si="54"/>
        <v>NA for PMX</v>
      </c>
      <c r="AH365" s="116" t="str">
        <f t="shared" ca="1" si="55"/>
        <v>NA for PMX</v>
      </c>
      <c r="AI365" s="180" t="str">
        <f t="shared" ca="1" si="56"/>
        <v>PMX2310-J10-BNNA for PMXNA for PMX</v>
      </c>
      <c r="AJ365" s="887"/>
    </row>
    <row r="366" spans="1:36">
      <c r="A366" s="355"/>
      <c r="B366" s="72">
        <v>2</v>
      </c>
      <c r="C366" s="118" t="s">
        <v>141</v>
      </c>
      <c r="D366" s="89"/>
      <c r="E366" s="145" t="s">
        <v>226</v>
      </c>
      <c r="F366" s="145" t="s">
        <v>226</v>
      </c>
      <c r="G366" s="146">
        <v>142</v>
      </c>
      <c r="H366" s="146">
        <v>142</v>
      </c>
      <c r="I366" s="146">
        <v>142</v>
      </c>
      <c r="J366" s="147">
        <v>142</v>
      </c>
      <c r="K366" s="34"/>
      <c r="L366" s="34"/>
      <c r="M366" s="34"/>
      <c r="N366" s="891">
        <v>10</v>
      </c>
      <c r="O366" s="34" t="s">
        <v>478</v>
      </c>
      <c r="P366" s="143">
        <v>1.02</v>
      </c>
      <c r="Q366" s="143">
        <v>1.02</v>
      </c>
      <c r="R366" s="143">
        <v>1.02</v>
      </c>
      <c r="S366" s="143">
        <v>1030</v>
      </c>
      <c r="T366" s="143">
        <v>0.30099999999999999</v>
      </c>
      <c r="U366" s="143">
        <v>121</v>
      </c>
      <c r="V366" s="143">
        <v>24</v>
      </c>
      <c r="W366" s="133">
        <f>Input!F54</f>
        <v>6</v>
      </c>
      <c r="X366" s="83" t="e">
        <f t="shared" ca="1" si="57"/>
        <v>#N/A</v>
      </c>
      <c r="Y366" s="67">
        <v>10</v>
      </c>
      <c r="Z366" s="34" t="s">
        <v>246</v>
      </c>
      <c r="AA366" s="34">
        <v>23</v>
      </c>
      <c r="AB366" s="34">
        <v>20</v>
      </c>
      <c r="AC366" s="149" t="s">
        <v>247</v>
      </c>
      <c r="AD366" s="34">
        <v>10</v>
      </c>
      <c r="AE366" s="149" t="s">
        <v>290</v>
      </c>
      <c r="AF366" s="34" t="s">
        <v>6</v>
      </c>
      <c r="AG366" s="34" t="str">
        <f t="shared" ca="1" si="54"/>
        <v>NA for PMX</v>
      </c>
      <c r="AH366" s="116" t="str">
        <f t="shared" ca="1" si="55"/>
        <v>NA for PMX</v>
      </c>
      <c r="AI366" s="180" t="str">
        <f t="shared" ca="1" si="56"/>
        <v>PMX2320-J10-BNNA for PMXNA for PMX</v>
      </c>
      <c r="AJ366" s="887"/>
    </row>
    <row r="367" spans="1:36">
      <c r="A367" s="355"/>
      <c r="B367" s="34"/>
      <c r="C367" s="34"/>
      <c r="D367" s="34"/>
      <c r="E367" s="34"/>
      <c r="F367" s="34"/>
      <c r="G367" s="34"/>
      <c r="H367" s="34"/>
      <c r="I367" s="34"/>
      <c r="J367" s="34"/>
      <c r="K367" s="34"/>
      <c r="L367" s="34"/>
      <c r="M367" s="34"/>
      <c r="N367" s="891">
        <v>11</v>
      </c>
      <c r="O367" s="34" t="s">
        <v>479</v>
      </c>
      <c r="P367" s="143">
        <v>1.66</v>
      </c>
      <c r="Q367" s="143">
        <v>1.66</v>
      </c>
      <c r="R367" s="143">
        <v>1.66</v>
      </c>
      <c r="S367" s="143">
        <v>700</v>
      </c>
      <c r="T367" s="143">
        <v>0.48199999999999998</v>
      </c>
      <c r="U367" s="143">
        <v>121</v>
      </c>
      <c r="V367" s="143">
        <v>24</v>
      </c>
      <c r="W367" s="134">
        <f>Input!F55</f>
        <v>3</v>
      </c>
      <c r="X367" s="874" t="e">
        <f t="shared" ca="1" si="57"/>
        <v>#N/A</v>
      </c>
      <c r="Y367" s="67">
        <v>11</v>
      </c>
      <c r="Z367" s="34" t="s">
        <v>246</v>
      </c>
      <c r="AA367" s="34">
        <v>23</v>
      </c>
      <c r="AB367" s="34">
        <v>30</v>
      </c>
      <c r="AC367" s="149" t="s">
        <v>247</v>
      </c>
      <c r="AD367" s="34">
        <v>10</v>
      </c>
      <c r="AE367" s="149" t="s">
        <v>290</v>
      </c>
      <c r="AF367" s="34" t="s">
        <v>6</v>
      </c>
      <c r="AG367" s="34" t="str">
        <f t="shared" ca="1" si="54"/>
        <v>NA for PMX</v>
      </c>
      <c r="AH367" s="116" t="str">
        <f t="shared" ca="1" si="55"/>
        <v>NA for PMX</v>
      </c>
      <c r="AI367" s="180" t="str">
        <f t="shared" ca="1" si="56"/>
        <v>PMX2330-J10-BNNA for PMXNA for PMX</v>
      </c>
      <c r="AJ367" s="887"/>
    </row>
    <row r="368" spans="1:36">
      <c r="A368" s="355"/>
      <c r="B368" s="34"/>
      <c r="C368" s="34"/>
      <c r="D368" s="34"/>
      <c r="E368" s="34"/>
      <c r="F368" s="34"/>
      <c r="G368" s="34"/>
      <c r="H368" s="34"/>
      <c r="I368" s="34"/>
      <c r="J368" s="34"/>
      <c r="K368" s="34"/>
      <c r="L368" s="34"/>
      <c r="M368" s="34"/>
      <c r="N368" s="891">
        <v>12</v>
      </c>
      <c r="O368" s="34" t="s">
        <v>480</v>
      </c>
      <c r="P368" s="143">
        <v>1.91</v>
      </c>
      <c r="Q368" s="143">
        <v>1.91</v>
      </c>
      <c r="R368" s="143">
        <v>1.91</v>
      </c>
      <c r="S368" s="143">
        <v>900</v>
      </c>
      <c r="T368" s="143">
        <v>0.52100000000000002</v>
      </c>
      <c r="U368" s="143">
        <v>121</v>
      </c>
      <c r="V368" s="143">
        <v>24</v>
      </c>
      <c r="W368" s="34"/>
      <c r="X368" s="34"/>
      <c r="Y368" s="67">
        <v>12</v>
      </c>
      <c r="Z368" s="34" t="s">
        <v>246</v>
      </c>
      <c r="AA368" s="34">
        <v>23</v>
      </c>
      <c r="AB368" s="34">
        <v>40</v>
      </c>
      <c r="AC368" s="149" t="s">
        <v>248</v>
      </c>
      <c r="AD368" s="34">
        <v>10</v>
      </c>
      <c r="AE368" s="149" t="s">
        <v>290</v>
      </c>
      <c r="AF368" s="34" t="s">
        <v>6</v>
      </c>
      <c r="AG368" s="34" t="str">
        <f t="shared" ca="1" si="54"/>
        <v>NA for PMX</v>
      </c>
      <c r="AH368" s="116" t="str">
        <f t="shared" ca="1" si="55"/>
        <v>NA for PMX</v>
      </c>
      <c r="AI368" s="180" t="str">
        <f t="shared" ca="1" si="56"/>
        <v>PMX2340-A10-BNNA for PMXNA for PMX</v>
      </c>
      <c r="AJ368" s="887"/>
    </row>
    <row r="369" spans="1:36">
      <c r="A369" s="355"/>
      <c r="B369" s="34"/>
      <c r="C369" s="34"/>
      <c r="D369" s="34"/>
      <c r="E369" s="34"/>
      <c r="F369" s="34"/>
      <c r="G369" s="34"/>
      <c r="H369" s="34"/>
      <c r="I369" s="34"/>
      <c r="J369" s="34"/>
      <c r="K369" s="34"/>
      <c r="L369" s="34"/>
      <c r="M369" s="34"/>
      <c r="N369" s="891">
        <v>13</v>
      </c>
      <c r="O369" s="34" t="s">
        <v>481</v>
      </c>
      <c r="P369" s="143">
        <v>2.4700000000000002</v>
      </c>
      <c r="Q369" s="143">
        <v>2.4700000000000002</v>
      </c>
      <c r="R369" s="143">
        <v>2.4700000000000002</v>
      </c>
      <c r="S369" s="143">
        <v>510</v>
      </c>
      <c r="T369" s="143">
        <v>1</v>
      </c>
      <c r="U369" s="142" t="s">
        <v>1900</v>
      </c>
      <c r="V369" s="143">
        <v>24</v>
      </c>
      <c r="W369" s="34"/>
      <c r="X369" s="34"/>
      <c r="Y369" s="67">
        <v>13</v>
      </c>
      <c r="Z369" s="34" t="s">
        <v>246</v>
      </c>
      <c r="AA369" s="34">
        <v>34</v>
      </c>
      <c r="AB369" s="34">
        <v>10</v>
      </c>
      <c r="AC369" s="149" t="s">
        <v>248</v>
      </c>
      <c r="AD369" s="34">
        <v>10</v>
      </c>
      <c r="AE369" s="149" t="s">
        <v>290</v>
      </c>
      <c r="AF369" s="34" t="s">
        <v>6</v>
      </c>
      <c r="AG369" s="34" t="str">
        <f t="shared" ca="1" si="54"/>
        <v>NA for PMX</v>
      </c>
      <c r="AH369" s="116" t="str">
        <f t="shared" ca="1" si="55"/>
        <v>NA for PMX</v>
      </c>
      <c r="AI369" s="180" t="str">
        <f t="shared" ca="1" si="56"/>
        <v>PMX3410-A10-BNNA for PMXNA for PMX</v>
      </c>
      <c r="AJ369" s="887"/>
    </row>
    <row r="370" spans="1:36">
      <c r="A370" s="355"/>
      <c r="B370" s="34"/>
      <c r="C370" s="34"/>
      <c r="D370" s="34"/>
      <c r="E370" s="34"/>
      <c r="F370" s="34"/>
      <c r="G370" s="34"/>
      <c r="H370" s="34"/>
      <c r="I370" s="34"/>
      <c r="J370" s="34"/>
      <c r="K370" s="34"/>
      <c r="L370" s="34"/>
      <c r="M370" s="34"/>
      <c r="N370" s="891">
        <v>14</v>
      </c>
      <c r="O370" s="34" t="s">
        <v>482</v>
      </c>
      <c r="P370" s="143">
        <v>3.5</v>
      </c>
      <c r="Q370" s="143">
        <v>3.5</v>
      </c>
      <c r="R370" s="143">
        <v>3.5</v>
      </c>
      <c r="S370" s="143">
        <v>300</v>
      </c>
      <c r="T370" s="143">
        <v>1.41</v>
      </c>
      <c r="U370" s="142" t="s">
        <v>1900</v>
      </c>
      <c r="V370" s="143">
        <v>24</v>
      </c>
      <c r="W370" s="34"/>
      <c r="X370" s="34"/>
      <c r="Y370" s="67">
        <v>14</v>
      </c>
      <c r="Z370" s="34" t="s">
        <v>246</v>
      </c>
      <c r="AA370" s="34">
        <v>34</v>
      </c>
      <c r="AB370" s="34">
        <v>20</v>
      </c>
      <c r="AC370" s="149" t="s">
        <v>248</v>
      </c>
      <c r="AD370" s="34">
        <v>10</v>
      </c>
      <c r="AE370" s="149" t="s">
        <v>290</v>
      </c>
      <c r="AF370" s="34" t="s">
        <v>6</v>
      </c>
      <c r="AG370" s="34" t="str">
        <f t="shared" ca="1" si="54"/>
        <v>NA for PMX</v>
      </c>
      <c r="AH370" s="116" t="str">
        <f t="shared" ca="1" si="55"/>
        <v>NA for PMX</v>
      </c>
      <c r="AI370" s="180" t="str">
        <f t="shared" ca="1" si="56"/>
        <v>PMX3420-A10-BNNA for PMXNA for PMX</v>
      </c>
      <c r="AJ370" s="887"/>
    </row>
    <row r="371" spans="1:36">
      <c r="A371" s="355"/>
      <c r="B371" s="34"/>
      <c r="C371" s="34"/>
      <c r="D371" s="34"/>
      <c r="E371" s="34"/>
      <c r="F371" s="34"/>
      <c r="G371" s="34"/>
      <c r="H371" s="34"/>
      <c r="I371" s="34"/>
      <c r="J371" s="34"/>
      <c r="K371" s="34"/>
      <c r="L371" s="34"/>
      <c r="M371" s="34"/>
      <c r="N371" s="891">
        <v>15</v>
      </c>
      <c r="O371" s="34" t="s">
        <v>483</v>
      </c>
      <c r="P371" s="143">
        <v>6.35</v>
      </c>
      <c r="Q371" s="143">
        <v>6.35</v>
      </c>
      <c r="R371" s="143">
        <v>6.35</v>
      </c>
      <c r="S371" s="143">
        <v>240</v>
      </c>
      <c r="T371" s="143">
        <v>2.7</v>
      </c>
      <c r="U371" s="142" t="s">
        <v>1900</v>
      </c>
      <c r="V371" s="143">
        <v>24</v>
      </c>
      <c r="W371" s="34"/>
      <c r="X371" s="34"/>
      <c r="Y371" s="67">
        <v>15</v>
      </c>
      <c r="Z371" s="34" t="s">
        <v>246</v>
      </c>
      <c r="AA371" s="34">
        <v>34</v>
      </c>
      <c r="AB371" s="34">
        <v>30</v>
      </c>
      <c r="AC371" s="149" t="s">
        <v>249</v>
      </c>
      <c r="AD371" s="34">
        <v>10</v>
      </c>
      <c r="AE371" s="149" t="s">
        <v>290</v>
      </c>
      <c r="AF371" s="34" t="s">
        <v>6</v>
      </c>
      <c r="AG371" s="34" t="str">
        <f t="shared" ca="1" si="54"/>
        <v>NA for PMX</v>
      </c>
      <c r="AH371" s="116" t="str">
        <f t="shared" ca="1" si="55"/>
        <v>NA for PMX</v>
      </c>
      <c r="AI371" s="180" t="str">
        <f t="shared" ca="1" si="56"/>
        <v>PMX3430-D10-BNNA for PMXNA for PMX</v>
      </c>
      <c r="AJ371" s="887"/>
    </row>
    <row r="372" spans="1:36">
      <c r="A372" s="355"/>
      <c r="B372" s="34"/>
      <c r="C372" s="34"/>
      <c r="D372" s="34"/>
      <c r="E372" s="34"/>
      <c r="F372" s="34"/>
      <c r="G372" s="34"/>
      <c r="H372" s="34"/>
      <c r="I372" s="34"/>
      <c r="J372" s="34"/>
      <c r="K372" s="34"/>
      <c r="L372" s="34"/>
      <c r="M372" s="34"/>
      <c r="N372" s="891">
        <v>16</v>
      </c>
      <c r="O372" s="34" t="s">
        <v>484</v>
      </c>
      <c r="P372" s="143">
        <v>8.5</v>
      </c>
      <c r="Q372" s="143">
        <v>8.5</v>
      </c>
      <c r="R372" s="143">
        <v>8.5</v>
      </c>
      <c r="S372" s="143">
        <v>200</v>
      </c>
      <c r="T372" s="143">
        <v>4.01</v>
      </c>
      <c r="U372" s="142" t="s">
        <v>1900</v>
      </c>
      <c r="V372" s="143">
        <v>24</v>
      </c>
      <c r="W372" s="34"/>
      <c r="X372" s="34"/>
      <c r="Y372" s="67">
        <v>16</v>
      </c>
      <c r="Z372" s="34" t="s">
        <v>246</v>
      </c>
      <c r="AA372" s="34">
        <v>34</v>
      </c>
      <c r="AB372" s="34">
        <v>40</v>
      </c>
      <c r="AC372" s="149" t="s">
        <v>249</v>
      </c>
      <c r="AD372" s="34">
        <v>10</v>
      </c>
      <c r="AE372" s="149" t="s">
        <v>290</v>
      </c>
      <c r="AF372" s="34" t="s">
        <v>6</v>
      </c>
      <c r="AG372" s="34" t="str">
        <f t="shared" ca="1" si="54"/>
        <v>NA for PMX</v>
      </c>
      <c r="AH372" s="116" t="str">
        <f t="shared" ca="1" si="55"/>
        <v>NA for PMX</v>
      </c>
      <c r="AI372" s="180" t="str">
        <f t="shared" ca="1" si="56"/>
        <v>PMX3440-D10-BNNA for PMXNA for PMX</v>
      </c>
      <c r="AJ372" s="887"/>
    </row>
    <row r="373" spans="1:36">
      <c r="A373" s="355"/>
      <c r="B373" s="34"/>
      <c r="C373" s="34"/>
      <c r="D373" s="34"/>
      <c r="E373" s="34"/>
      <c r="F373" s="34"/>
      <c r="G373" s="34"/>
      <c r="H373" s="34"/>
      <c r="I373" s="34"/>
      <c r="J373" s="34"/>
      <c r="K373" s="34"/>
      <c r="L373" s="34"/>
      <c r="M373" s="34"/>
      <c r="N373" s="891">
        <v>17</v>
      </c>
      <c r="O373" s="34" t="s">
        <v>477</v>
      </c>
      <c r="P373" s="143">
        <v>0.51</v>
      </c>
      <c r="Q373" s="143">
        <v>0.51</v>
      </c>
      <c r="R373" s="143">
        <v>0.51</v>
      </c>
      <c r="S373" s="143">
        <v>3000</v>
      </c>
      <c r="T373" s="143">
        <v>0.12</v>
      </c>
      <c r="U373" s="143">
        <v>121</v>
      </c>
      <c r="V373" s="143">
        <v>48</v>
      </c>
      <c r="W373" s="34"/>
      <c r="X373" s="34"/>
      <c r="Y373" s="67">
        <v>17</v>
      </c>
      <c r="Z373" s="34" t="s">
        <v>246</v>
      </c>
      <c r="AA373" s="34">
        <v>23</v>
      </c>
      <c r="AB373" s="34">
        <v>10</v>
      </c>
      <c r="AC373" s="149" t="s">
        <v>247</v>
      </c>
      <c r="AD373" s="34">
        <v>10</v>
      </c>
      <c r="AE373" s="149" t="s">
        <v>290</v>
      </c>
      <c r="AF373" s="34" t="s">
        <v>6</v>
      </c>
      <c r="AG373" s="34" t="str">
        <f t="shared" ca="1" si="54"/>
        <v>NA for PMX</v>
      </c>
      <c r="AH373" s="116" t="str">
        <f t="shared" ca="1" si="55"/>
        <v>NA for PMX</v>
      </c>
      <c r="AI373" s="180" t="str">
        <f t="shared" ca="1" si="56"/>
        <v>PMX2310-J10-BNNA for PMXNA for PMX</v>
      </c>
      <c r="AJ373" s="887"/>
    </row>
    <row r="374" spans="1:36">
      <c r="A374" s="355"/>
      <c r="B374" s="236"/>
      <c r="C374" s="87"/>
      <c r="D374" s="236"/>
      <c r="E374" s="34"/>
      <c r="F374" s="236"/>
      <c r="G374" s="236"/>
      <c r="H374" s="236"/>
      <c r="I374" s="34"/>
      <c r="J374" s="34"/>
      <c r="K374" s="34"/>
      <c r="L374" s="34"/>
      <c r="M374" s="34"/>
      <c r="N374" s="891">
        <v>18</v>
      </c>
      <c r="O374" s="34" t="s">
        <v>478</v>
      </c>
      <c r="P374" s="143">
        <v>1.02</v>
      </c>
      <c r="Q374" s="143">
        <v>1.02</v>
      </c>
      <c r="R374" s="143">
        <v>1.02</v>
      </c>
      <c r="S374" s="143">
        <v>1900</v>
      </c>
      <c r="T374" s="143">
        <v>0.30099999999999999</v>
      </c>
      <c r="U374" s="143">
        <v>121</v>
      </c>
      <c r="V374" s="143">
        <v>48</v>
      </c>
      <c r="W374" s="34"/>
      <c r="X374" s="34"/>
      <c r="Y374" s="67">
        <v>18</v>
      </c>
      <c r="Z374" s="34" t="s">
        <v>246</v>
      </c>
      <c r="AA374" s="34">
        <v>23</v>
      </c>
      <c r="AB374" s="34">
        <v>20</v>
      </c>
      <c r="AC374" s="149" t="s">
        <v>247</v>
      </c>
      <c r="AD374" s="34">
        <v>10</v>
      </c>
      <c r="AE374" s="149" t="s">
        <v>290</v>
      </c>
      <c r="AF374" s="34" t="s">
        <v>6</v>
      </c>
      <c r="AG374" s="34" t="str">
        <f t="shared" ca="1" si="54"/>
        <v>NA for PMX</v>
      </c>
      <c r="AH374" s="116" t="str">
        <f t="shared" ca="1" si="55"/>
        <v>NA for PMX</v>
      </c>
      <c r="AI374" s="180" t="str">
        <f t="shared" ca="1" si="56"/>
        <v>PMX2320-J10-BNNA for PMXNA for PMX</v>
      </c>
      <c r="AJ374" s="887"/>
    </row>
    <row r="375" spans="1:36">
      <c r="A375" s="355"/>
      <c r="B375" s="236"/>
      <c r="C375" s="87"/>
      <c r="D375" s="87"/>
      <c r="E375" s="87"/>
      <c r="F375" s="87"/>
      <c r="G375" s="87"/>
      <c r="H375" s="87"/>
      <c r="I375" s="34"/>
      <c r="J375" s="34"/>
      <c r="K375" s="34"/>
      <c r="L375" s="34"/>
      <c r="M375" s="34"/>
      <c r="N375" s="891">
        <v>19</v>
      </c>
      <c r="O375" s="34" t="s">
        <v>479</v>
      </c>
      <c r="P375" s="143">
        <v>1.66</v>
      </c>
      <c r="Q375" s="143">
        <v>1.66</v>
      </c>
      <c r="R375" s="143">
        <v>1.66</v>
      </c>
      <c r="S375" s="143">
        <v>1400</v>
      </c>
      <c r="T375" s="143">
        <v>0.48199999999999998</v>
      </c>
      <c r="U375" s="143">
        <v>121</v>
      </c>
      <c r="V375" s="143">
        <v>48</v>
      </c>
      <c r="W375" s="34"/>
      <c r="X375" s="34"/>
      <c r="Y375" s="67">
        <v>19</v>
      </c>
      <c r="Z375" s="34" t="s">
        <v>246</v>
      </c>
      <c r="AA375" s="34">
        <v>23</v>
      </c>
      <c r="AB375" s="34">
        <v>30</v>
      </c>
      <c r="AC375" s="149" t="s">
        <v>247</v>
      </c>
      <c r="AD375" s="34">
        <v>10</v>
      </c>
      <c r="AE375" s="149" t="s">
        <v>290</v>
      </c>
      <c r="AF375" s="34" t="s">
        <v>6</v>
      </c>
      <c r="AG375" s="34" t="str">
        <f t="shared" ca="1" si="54"/>
        <v>NA for PMX</v>
      </c>
      <c r="AH375" s="116" t="str">
        <f t="shared" ca="1" si="55"/>
        <v>NA for PMX</v>
      </c>
      <c r="AI375" s="180" t="str">
        <f t="shared" ca="1" si="56"/>
        <v>PMX2330-J10-BNNA for PMXNA for PMX</v>
      </c>
      <c r="AJ375" s="887"/>
    </row>
    <row r="376" spans="1:36">
      <c r="A376" s="357"/>
      <c r="B376" s="34"/>
      <c r="C376" s="34"/>
      <c r="D376" s="279" t="s">
        <v>100</v>
      </c>
      <c r="E376" s="279" t="s">
        <v>101</v>
      </c>
      <c r="F376" s="279" t="s">
        <v>102</v>
      </c>
      <c r="G376" s="279" t="s">
        <v>103</v>
      </c>
      <c r="H376" s="279" t="s">
        <v>79</v>
      </c>
      <c r="I376" s="279" t="s">
        <v>183</v>
      </c>
      <c r="J376" s="279" t="s">
        <v>232</v>
      </c>
      <c r="K376" s="34"/>
      <c r="L376" s="34"/>
      <c r="M376" s="34"/>
      <c r="N376" s="891">
        <v>20</v>
      </c>
      <c r="O376" s="34" t="s">
        <v>480</v>
      </c>
      <c r="P376" s="143">
        <v>1.91</v>
      </c>
      <c r="Q376" s="143">
        <v>1.91</v>
      </c>
      <c r="R376" s="143">
        <v>1.91</v>
      </c>
      <c r="S376" s="143">
        <v>1800</v>
      </c>
      <c r="T376" s="143">
        <v>0.52100000000000002</v>
      </c>
      <c r="U376" s="143">
        <v>121</v>
      </c>
      <c r="V376" s="143">
        <v>48</v>
      </c>
      <c r="W376" s="34"/>
      <c r="X376" s="34"/>
      <c r="Y376" s="67">
        <v>20</v>
      </c>
      <c r="Z376" s="34" t="s">
        <v>246</v>
      </c>
      <c r="AA376" s="34">
        <v>23</v>
      </c>
      <c r="AB376" s="34">
        <v>40</v>
      </c>
      <c r="AC376" s="149" t="s">
        <v>248</v>
      </c>
      <c r="AD376" s="34">
        <v>10</v>
      </c>
      <c r="AE376" s="149" t="s">
        <v>290</v>
      </c>
      <c r="AF376" s="34" t="s">
        <v>6</v>
      </c>
      <c r="AG376" s="34" t="str">
        <f t="shared" ca="1" si="54"/>
        <v>NA for PMX</v>
      </c>
      <c r="AH376" s="116" t="str">
        <f t="shared" ca="1" si="55"/>
        <v>NA for PMX</v>
      </c>
      <c r="AI376" s="180" t="str">
        <f t="shared" ca="1" si="56"/>
        <v>PMX2340-A10-BNNA for PMXNA for PMX</v>
      </c>
      <c r="AJ376" s="887"/>
    </row>
    <row r="377" spans="1:36">
      <c r="A377" s="357"/>
      <c r="B377" s="34" t="s">
        <v>116</v>
      </c>
      <c r="C377" s="34"/>
      <c r="D377" s="279" t="s">
        <v>7</v>
      </c>
      <c r="E377" s="279" t="s">
        <v>7</v>
      </c>
      <c r="F377" s="279" t="s">
        <v>7</v>
      </c>
      <c r="G377" s="279" t="s">
        <v>17</v>
      </c>
      <c r="H377" s="279" t="s">
        <v>80</v>
      </c>
      <c r="I377" s="34"/>
      <c r="J377" s="34"/>
      <c r="K377" s="34"/>
      <c r="L377" s="34"/>
      <c r="M377" s="34"/>
      <c r="N377" s="891">
        <v>21</v>
      </c>
      <c r="O377" s="34" t="s">
        <v>481</v>
      </c>
      <c r="P377" s="143">
        <v>2.4700000000000002</v>
      </c>
      <c r="Q377" s="143">
        <v>2.4700000000000002</v>
      </c>
      <c r="R377" s="143">
        <v>2.4700000000000002</v>
      </c>
      <c r="S377" s="143">
        <v>1050</v>
      </c>
      <c r="T377" s="143">
        <v>1</v>
      </c>
      <c r="U377" s="142" t="s">
        <v>1900</v>
      </c>
      <c r="V377" s="143">
        <v>48</v>
      </c>
      <c r="W377" s="34"/>
      <c r="X377" s="34"/>
      <c r="Y377" s="67">
        <v>21</v>
      </c>
      <c r="Z377" s="34" t="s">
        <v>246</v>
      </c>
      <c r="AA377" s="34">
        <v>34</v>
      </c>
      <c r="AB377" s="34">
        <v>10</v>
      </c>
      <c r="AC377" s="149" t="s">
        <v>248</v>
      </c>
      <c r="AD377" s="34">
        <v>10</v>
      </c>
      <c r="AE377" s="149" t="s">
        <v>290</v>
      </c>
      <c r="AF377" s="34" t="s">
        <v>6</v>
      </c>
      <c r="AG377" s="34" t="str">
        <f t="shared" ca="1" si="54"/>
        <v>NA for PMX</v>
      </c>
      <c r="AH377" s="116" t="str">
        <f t="shared" ca="1" si="55"/>
        <v>NA for PMX</v>
      </c>
      <c r="AI377" s="180" t="str">
        <f t="shared" ca="1" si="56"/>
        <v>PMX3410-A10-BNNA for PMXNA for PMX</v>
      </c>
      <c r="AJ377" s="887"/>
    </row>
    <row r="378" spans="1:36">
      <c r="A378" s="357"/>
      <c r="B378" s="236">
        <f ca="1">B150</f>
        <v>5</v>
      </c>
      <c r="C378" s="236">
        <f ca="1">VLOOKUP(B378,B379:H402,2)</f>
        <v>5</v>
      </c>
      <c r="D378" s="236">
        <f ca="1">VLOOKUP(B378,B379:H402,3)</f>
        <v>0</v>
      </c>
      <c r="E378" s="236">
        <f ca="1">VLOOKUP(B378,B379:H402,4)</f>
        <v>0</v>
      </c>
      <c r="F378" s="236">
        <f ca="1">VLOOKUP(B378,B378:I402,5)</f>
        <v>0</v>
      </c>
      <c r="G378" s="236">
        <f ca="1">VLOOKUP(B378,B379:H402,6)</f>
        <v>0</v>
      </c>
      <c r="H378" s="236">
        <f ca="1">VLOOKUP(B378,B379:H402,7)</f>
        <v>0</v>
      </c>
      <c r="I378" s="34"/>
      <c r="J378" s="34"/>
      <c r="K378" s="34"/>
      <c r="L378" s="34"/>
      <c r="M378" s="34"/>
      <c r="N378" s="891">
        <v>22</v>
      </c>
      <c r="O378" s="34" t="s">
        <v>482</v>
      </c>
      <c r="P378" s="143">
        <v>3.5</v>
      </c>
      <c r="Q378" s="143">
        <v>3.5</v>
      </c>
      <c r="R378" s="143">
        <v>3.5</v>
      </c>
      <c r="S378" s="143">
        <v>580</v>
      </c>
      <c r="T378" s="143">
        <v>1.41</v>
      </c>
      <c r="U378" s="142" t="s">
        <v>1900</v>
      </c>
      <c r="V378" s="143">
        <v>48</v>
      </c>
      <c r="W378" s="34"/>
      <c r="X378" s="34"/>
      <c r="Y378" s="67">
        <v>22</v>
      </c>
      <c r="Z378" s="34" t="s">
        <v>246</v>
      </c>
      <c r="AA378" s="34">
        <v>34</v>
      </c>
      <c r="AB378" s="34">
        <v>20</v>
      </c>
      <c r="AC378" s="149" t="s">
        <v>248</v>
      </c>
      <c r="AD378" s="34">
        <v>10</v>
      </c>
      <c r="AE378" s="149" t="s">
        <v>290</v>
      </c>
      <c r="AF378" s="34" t="s">
        <v>6</v>
      </c>
      <c r="AG378" s="34" t="str">
        <f t="shared" ca="1" si="54"/>
        <v>NA for PMX</v>
      </c>
      <c r="AH378" s="116" t="str">
        <f t="shared" ca="1" si="55"/>
        <v>NA for PMX</v>
      </c>
      <c r="AI378" s="180" t="str">
        <f t="shared" ca="1" si="56"/>
        <v>PMX3420-A10-BNNA for PMXNA for PMX</v>
      </c>
      <c r="AJ378" s="887"/>
    </row>
    <row r="379" spans="1:36">
      <c r="A379" s="357"/>
      <c r="B379" s="279">
        <v>1</v>
      </c>
      <c r="C379" s="279">
        <v>1</v>
      </c>
      <c r="D379" s="279"/>
      <c r="E379" s="279"/>
      <c r="F379" s="279"/>
      <c r="G379" s="279"/>
      <c r="H379" s="279"/>
      <c r="I379" s="279"/>
      <c r="J379" s="34"/>
      <c r="K379" s="34"/>
      <c r="L379" s="34"/>
      <c r="M379" s="34"/>
      <c r="N379" s="891">
        <v>23</v>
      </c>
      <c r="O379" s="34" t="s">
        <v>483</v>
      </c>
      <c r="P379" s="143">
        <v>6.35</v>
      </c>
      <c r="Q379" s="143">
        <v>6.35</v>
      </c>
      <c r="R379" s="143">
        <v>6.35</v>
      </c>
      <c r="S379" s="143">
        <v>490</v>
      </c>
      <c r="T379" s="143">
        <v>2.7</v>
      </c>
      <c r="U379" s="142" t="s">
        <v>1900</v>
      </c>
      <c r="V379" s="143">
        <v>48</v>
      </c>
      <c r="W379" s="34"/>
      <c r="X379" s="34"/>
      <c r="Y379" s="67">
        <v>23</v>
      </c>
      <c r="Z379" s="34" t="s">
        <v>246</v>
      </c>
      <c r="AA379" s="34">
        <v>34</v>
      </c>
      <c r="AB379" s="34">
        <v>30</v>
      </c>
      <c r="AC379" s="149" t="s">
        <v>249</v>
      </c>
      <c r="AD379" s="34">
        <v>10</v>
      </c>
      <c r="AE379" s="149" t="s">
        <v>290</v>
      </c>
      <c r="AF379" s="34" t="s">
        <v>6</v>
      </c>
      <c r="AG379" s="34" t="str">
        <f t="shared" ca="1" si="54"/>
        <v>NA for PMX</v>
      </c>
      <c r="AH379" s="116" t="str">
        <f t="shared" ca="1" si="55"/>
        <v>NA for PMX</v>
      </c>
      <c r="AI379" s="180" t="str">
        <f t="shared" ca="1" si="56"/>
        <v>PMX3430-D10-BNNA for PMXNA for PMX</v>
      </c>
      <c r="AJ379" s="887"/>
    </row>
    <row r="380" spans="1:36">
      <c r="A380" s="357"/>
      <c r="B380" s="279">
        <v>2</v>
      </c>
      <c r="C380" s="279">
        <v>2</v>
      </c>
      <c r="D380" s="279"/>
      <c r="E380" s="279"/>
      <c r="F380" s="279"/>
      <c r="G380" s="279"/>
      <c r="H380" s="279"/>
      <c r="I380" s="279"/>
      <c r="J380" s="34"/>
      <c r="K380" s="34"/>
      <c r="L380" s="34"/>
      <c r="M380" s="34"/>
      <c r="N380" s="891">
        <v>24</v>
      </c>
      <c r="O380" s="34" t="s">
        <v>484</v>
      </c>
      <c r="P380" s="143">
        <v>8.5</v>
      </c>
      <c r="Q380" s="143">
        <v>8.5</v>
      </c>
      <c r="R380" s="143">
        <v>8.5</v>
      </c>
      <c r="S380" s="143">
        <v>400</v>
      </c>
      <c r="T380" s="143">
        <v>4.01</v>
      </c>
      <c r="U380" s="142" t="s">
        <v>1900</v>
      </c>
      <c r="V380" s="143">
        <v>48</v>
      </c>
      <c r="W380" s="34"/>
      <c r="X380" s="34"/>
      <c r="Y380" s="72">
        <v>24</v>
      </c>
      <c r="Z380" s="89" t="s">
        <v>246</v>
      </c>
      <c r="AA380" s="89">
        <v>34</v>
      </c>
      <c r="AB380" s="89">
        <v>40</v>
      </c>
      <c r="AC380" s="150" t="s">
        <v>249</v>
      </c>
      <c r="AD380" s="89">
        <v>10</v>
      </c>
      <c r="AE380" s="150" t="s">
        <v>290</v>
      </c>
      <c r="AF380" s="89" t="s">
        <v>6</v>
      </c>
      <c r="AG380" s="89" t="str">
        <f t="shared" ca="1" si="54"/>
        <v>NA for PMX</v>
      </c>
      <c r="AH380" s="151" t="str">
        <f t="shared" ca="1" si="55"/>
        <v>NA for PMX</v>
      </c>
      <c r="AI380" s="181" t="str">
        <f t="shared" ca="1" si="56"/>
        <v>PMX3440-D10-BNNA for PMXNA for PMX</v>
      </c>
      <c r="AJ380" s="887"/>
    </row>
    <row r="381" spans="1:36">
      <c r="A381" s="357"/>
      <c r="B381" s="279">
        <v>3</v>
      </c>
      <c r="C381" s="279">
        <v>3</v>
      </c>
      <c r="D381" s="279"/>
      <c r="E381" s="279"/>
      <c r="F381" s="279"/>
      <c r="G381" s="279"/>
      <c r="H381" s="279"/>
      <c r="I381" s="34"/>
      <c r="J381" s="34"/>
      <c r="K381" s="34"/>
      <c r="L381" s="34"/>
      <c r="M381" s="34"/>
      <c r="N381" s="885"/>
      <c r="O381" s="34"/>
      <c r="P381" s="34"/>
      <c r="Q381" s="34"/>
      <c r="R381" s="34"/>
      <c r="S381" s="34"/>
      <c r="T381" s="34"/>
      <c r="U381" s="34"/>
      <c r="V381" s="34"/>
      <c r="W381" s="34"/>
      <c r="X381" s="34"/>
      <c r="Y381" s="34"/>
      <c r="Z381" s="34"/>
      <c r="AA381" s="34"/>
      <c r="AB381" s="34"/>
      <c r="AC381" s="34"/>
      <c r="AD381" s="34"/>
      <c r="AE381" s="34"/>
      <c r="AF381" s="34"/>
      <c r="AG381" s="34"/>
      <c r="AH381" s="34"/>
      <c r="AI381" s="886"/>
      <c r="AJ381" s="887"/>
    </row>
    <row r="382" spans="1:36">
      <c r="A382" s="357"/>
      <c r="B382" s="279">
        <v>4</v>
      </c>
      <c r="C382" s="279">
        <v>4</v>
      </c>
      <c r="D382" s="279"/>
      <c r="E382" s="279"/>
      <c r="F382" s="279"/>
      <c r="G382" s="279"/>
      <c r="H382" s="279"/>
      <c r="I382" s="34"/>
      <c r="J382" s="34"/>
      <c r="K382" s="34"/>
      <c r="L382" s="34"/>
      <c r="M382" s="34"/>
      <c r="N382" s="885"/>
      <c r="O382" s="34"/>
      <c r="P382" s="34"/>
      <c r="Q382" s="34"/>
      <c r="R382" s="34"/>
      <c r="S382" s="34"/>
      <c r="T382" s="34"/>
      <c r="U382" s="34"/>
      <c r="V382" s="34"/>
      <c r="W382" s="34"/>
      <c r="X382" s="34"/>
      <c r="Y382" s="34"/>
      <c r="Z382" s="34"/>
      <c r="AA382" s="34"/>
      <c r="AB382" s="34"/>
      <c r="AC382" s="34"/>
      <c r="AD382" s="34"/>
      <c r="AE382" s="34"/>
      <c r="AF382" s="34"/>
      <c r="AG382" s="34"/>
      <c r="AH382" s="34"/>
      <c r="AI382" s="886"/>
      <c r="AJ382" s="887"/>
    </row>
    <row r="383" spans="1:36">
      <c r="A383" s="357"/>
      <c r="B383" s="279">
        <v>5</v>
      </c>
      <c r="C383" s="279">
        <v>5</v>
      </c>
      <c r="D383" s="279"/>
      <c r="E383" s="279"/>
      <c r="F383" s="279"/>
      <c r="G383" s="279"/>
      <c r="H383" s="279"/>
      <c r="I383" s="34"/>
      <c r="J383" s="34"/>
      <c r="K383" s="34"/>
      <c r="L383" s="34"/>
      <c r="M383" s="34"/>
      <c r="N383" s="885"/>
      <c r="O383" s="34"/>
      <c r="P383" s="34"/>
      <c r="Q383" s="34"/>
      <c r="R383" s="34"/>
      <c r="S383" s="34"/>
      <c r="T383" s="34"/>
      <c r="U383" s="34"/>
      <c r="V383" s="34"/>
      <c r="W383" s="34"/>
      <c r="X383" s="34"/>
      <c r="Y383" s="34"/>
      <c r="Z383" s="34"/>
      <c r="AA383" s="34"/>
      <c r="AB383" s="34"/>
      <c r="AC383" s="34"/>
      <c r="AD383" s="34"/>
      <c r="AE383" s="34"/>
      <c r="AF383" s="34"/>
      <c r="AG383" s="34"/>
      <c r="AH383" s="34"/>
      <c r="AI383" s="34"/>
      <c r="AJ383" s="887"/>
    </row>
    <row r="384" spans="1:36">
      <c r="A384" s="357"/>
      <c r="B384" s="279">
        <v>6</v>
      </c>
      <c r="C384" s="279">
        <v>6</v>
      </c>
      <c r="D384" s="279"/>
      <c r="E384" s="279"/>
      <c r="F384" s="279"/>
      <c r="G384" s="279"/>
      <c r="H384" s="279"/>
      <c r="I384" s="34"/>
      <c r="J384" s="34"/>
      <c r="K384" s="34"/>
      <c r="L384" s="34"/>
      <c r="M384" s="34"/>
      <c r="N384" s="885"/>
      <c r="O384" s="34"/>
      <c r="P384" s="34"/>
      <c r="Q384" s="34"/>
      <c r="R384" s="34"/>
      <c r="S384" s="34"/>
      <c r="T384" s="34"/>
      <c r="U384" s="34"/>
      <c r="V384" s="34"/>
      <c r="W384" s="34"/>
      <c r="X384" s="34"/>
      <c r="Y384" s="34"/>
      <c r="Z384" s="34"/>
      <c r="AA384" s="34"/>
      <c r="AB384" s="34"/>
      <c r="AC384" s="34"/>
      <c r="AD384" s="34"/>
      <c r="AE384" s="34"/>
      <c r="AF384" s="34"/>
      <c r="AG384" s="34"/>
      <c r="AH384" s="34"/>
      <c r="AI384" s="34"/>
      <c r="AJ384" s="887"/>
    </row>
    <row r="385" spans="1:36">
      <c r="A385" s="357"/>
      <c r="B385" s="279">
        <v>7</v>
      </c>
      <c r="C385" s="279">
        <v>7</v>
      </c>
      <c r="D385" s="279"/>
      <c r="E385" s="279"/>
      <c r="F385" s="279"/>
      <c r="G385" s="279"/>
      <c r="H385" s="279"/>
      <c r="I385" s="34"/>
      <c r="J385" s="34"/>
      <c r="K385" s="34"/>
      <c r="L385" s="34"/>
      <c r="M385" s="34"/>
      <c r="N385" s="885"/>
      <c r="O385" s="34"/>
      <c r="P385" s="34"/>
      <c r="Q385" s="34"/>
      <c r="R385" s="34"/>
      <c r="S385" s="34"/>
      <c r="T385" s="34"/>
      <c r="U385" s="34"/>
      <c r="V385" s="34"/>
      <c r="W385" s="34"/>
      <c r="X385" s="34"/>
      <c r="Y385" s="34"/>
      <c r="Z385" s="34"/>
      <c r="AA385" s="34"/>
      <c r="AB385" s="34"/>
      <c r="AC385" s="34"/>
      <c r="AD385" s="34"/>
      <c r="AE385" s="34"/>
      <c r="AF385" s="34"/>
      <c r="AG385" s="34"/>
      <c r="AH385" s="34"/>
      <c r="AI385" s="34"/>
      <c r="AJ385" s="887"/>
    </row>
    <row r="386" spans="1:36">
      <c r="A386" s="357"/>
      <c r="B386" s="279">
        <v>8</v>
      </c>
      <c r="C386" s="279">
        <v>8</v>
      </c>
      <c r="D386" s="279"/>
      <c r="E386" s="279"/>
      <c r="F386" s="279"/>
      <c r="G386" s="279"/>
      <c r="H386" s="279"/>
      <c r="I386" s="34"/>
      <c r="J386" s="34"/>
      <c r="K386" s="34"/>
      <c r="L386" s="34"/>
      <c r="M386" s="34"/>
      <c r="N386" s="885"/>
      <c r="O386" s="34"/>
      <c r="P386" s="34"/>
      <c r="Q386" s="34"/>
      <c r="R386" s="34"/>
      <c r="S386" s="34"/>
      <c r="T386" s="34"/>
      <c r="U386" s="34"/>
      <c r="V386" s="34"/>
      <c r="W386" s="34"/>
      <c r="X386" s="34"/>
      <c r="Y386" s="34"/>
      <c r="Z386" s="34"/>
      <c r="AA386" s="34"/>
      <c r="AB386" s="34"/>
      <c r="AC386" s="34"/>
      <c r="AD386" s="34"/>
      <c r="AE386" s="34"/>
      <c r="AF386" s="34"/>
      <c r="AG386" s="34"/>
      <c r="AH386" s="34"/>
      <c r="AI386" s="34"/>
      <c r="AJ386" s="887"/>
    </row>
    <row r="387" spans="1:36">
      <c r="A387" s="357"/>
      <c r="B387" s="279">
        <v>9</v>
      </c>
      <c r="C387" s="279">
        <v>9</v>
      </c>
      <c r="D387" s="279"/>
      <c r="E387" s="279"/>
      <c r="F387" s="279"/>
      <c r="G387" s="279"/>
      <c r="H387" s="279"/>
      <c r="I387" s="34"/>
      <c r="J387" s="34"/>
      <c r="K387" s="34"/>
      <c r="L387" s="34"/>
      <c r="M387" s="34"/>
      <c r="N387" s="885"/>
      <c r="O387" s="34"/>
      <c r="P387" s="34"/>
      <c r="Q387" s="34"/>
      <c r="R387" s="34"/>
      <c r="S387" s="34"/>
      <c r="T387" s="34"/>
      <c r="U387" s="34"/>
      <c r="V387" s="34"/>
      <c r="W387" s="34"/>
      <c r="X387" s="34"/>
      <c r="Y387" s="34"/>
      <c r="Z387" s="34"/>
      <c r="AA387" s="34"/>
      <c r="AB387" s="34"/>
      <c r="AC387" s="34"/>
      <c r="AD387" s="34"/>
      <c r="AE387" s="34"/>
      <c r="AF387" s="34"/>
      <c r="AG387" s="34"/>
      <c r="AH387" s="34"/>
      <c r="AI387" s="34"/>
      <c r="AJ387" s="887"/>
    </row>
    <row r="388" spans="1:36">
      <c r="A388" s="357"/>
      <c r="B388" s="279">
        <v>10</v>
      </c>
      <c r="C388" s="279">
        <v>10</v>
      </c>
      <c r="D388" s="279"/>
      <c r="E388" s="279"/>
      <c r="F388" s="279"/>
      <c r="G388" s="279"/>
      <c r="H388" s="279"/>
      <c r="I388" s="34"/>
      <c r="J388" s="34"/>
      <c r="K388" s="34"/>
      <c r="L388" s="34"/>
      <c r="M388" s="34"/>
      <c r="N388" s="885"/>
      <c r="O388" s="34"/>
      <c r="P388" s="34"/>
      <c r="Q388" s="34"/>
      <c r="R388" s="34"/>
      <c r="S388" s="34"/>
      <c r="T388" s="34"/>
      <c r="U388" s="34"/>
      <c r="V388" s="34"/>
      <c r="W388" s="34"/>
      <c r="X388" s="34"/>
      <c r="Y388" s="34"/>
      <c r="Z388" s="34"/>
      <c r="AA388" s="34"/>
      <c r="AB388" s="34"/>
      <c r="AC388" s="34"/>
      <c r="AD388" s="34"/>
      <c r="AE388" s="34"/>
      <c r="AF388" s="34"/>
      <c r="AG388" s="34"/>
      <c r="AH388" s="34"/>
      <c r="AI388" s="34"/>
      <c r="AJ388" s="887"/>
    </row>
    <row r="389" spans="1:36">
      <c r="A389" s="355"/>
      <c r="B389" s="279">
        <v>11</v>
      </c>
      <c r="C389" s="279">
        <v>11</v>
      </c>
      <c r="D389" s="279"/>
      <c r="E389" s="279"/>
      <c r="F389" s="279"/>
      <c r="G389" s="279"/>
      <c r="H389" s="279"/>
      <c r="I389" s="34"/>
      <c r="J389" s="34"/>
      <c r="K389" s="34"/>
      <c r="L389" s="34"/>
      <c r="M389" s="34"/>
      <c r="N389" s="885"/>
      <c r="O389" s="34"/>
      <c r="P389" s="34"/>
      <c r="Q389" s="34"/>
      <c r="R389" s="34"/>
      <c r="S389" s="34"/>
      <c r="T389" s="34"/>
      <c r="U389" s="34"/>
      <c r="V389" s="34"/>
      <c r="W389" s="34"/>
      <c r="X389" s="34"/>
      <c r="Y389" s="34"/>
      <c r="Z389" s="34"/>
      <c r="AA389" s="34"/>
      <c r="AB389" s="34"/>
      <c r="AC389" s="34"/>
      <c r="AD389" s="34"/>
      <c r="AE389" s="34"/>
      <c r="AF389" s="34"/>
      <c r="AG389" s="34"/>
      <c r="AH389" s="34"/>
      <c r="AI389" s="34"/>
      <c r="AJ389" s="887"/>
    </row>
    <row r="390" spans="1:36">
      <c r="A390" s="355"/>
      <c r="B390" s="279">
        <v>12</v>
      </c>
      <c r="C390" s="279">
        <v>12</v>
      </c>
      <c r="D390" s="279"/>
      <c r="E390" s="279"/>
      <c r="F390" s="279"/>
      <c r="G390" s="279"/>
      <c r="H390" s="279"/>
      <c r="I390" s="34"/>
      <c r="J390" s="34"/>
      <c r="K390" s="34"/>
      <c r="L390" s="34"/>
      <c r="M390" s="34"/>
      <c r="N390" s="885"/>
      <c r="O390" s="34"/>
      <c r="P390" s="34"/>
      <c r="Q390" s="34"/>
      <c r="R390" s="34"/>
      <c r="S390" s="34"/>
      <c r="T390" s="34"/>
      <c r="U390" s="34"/>
      <c r="V390" s="34"/>
      <c r="W390" s="34"/>
      <c r="X390" s="34"/>
      <c r="Y390" s="34"/>
      <c r="Z390" s="34"/>
      <c r="AA390" s="34"/>
      <c r="AB390" s="34"/>
      <c r="AC390" s="34"/>
      <c r="AD390" s="34"/>
      <c r="AE390" s="34"/>
      <c r="AF390" s="34"/>
      <c r="AG390" s="34"/>
      <c r="AH390" s="34"/>
      <c r="AI390" s="34"/>
      <c r="AJ390" s="887"/>
    </row>
    <row r="391" spans="1:36">
      <c r="A391" s="355"/>
      <c r="B391" s="279">
        <v>13</v>
      </c>
      <c r="C391" s="279">
        <v>13</v>
      </c>
      <c r="D391" s="279"/>
      <c r="E391" s="279"/>
      <c r="F391" s="279"/>
      <c r="G391" s="279"/>
      <c r="H391" s="279"/>
      <c r="I391" s="34"/>
      <c r="J391" s="34"/>
      <c r="K391" s="34"/>
      <c r="L391" s="34"/>
      <c r="M391" s="34"/>
      <c r="N391" s="885"/>
      <c r="O391" s="34"/>
      <c r="P391" s="34"/>
      <c r="Q391" s="34"/>
      <c r="R391" s="34"/>
      <c r="S391" s="34"/>
      <c r="T391" s="34"/>
      <c r="U391" s="34"/>
      <c r="V391" s="34"/>
      <c r="W391" s="34"/>
      <c r="X391" s="34"/>
      <c r="Y391" s="34"/>
      <c r="Z391" s="34"/>
      <c r="AA391" s="34"/>
      <c r="AB391" s="34"/>
      <c r="AC391" s="34"/>
      <c r="AD391" s="34"/>
      <c r="AE391" s="34"/>
      <c r="AF391" s="34"/>
      <c r="AG391" s="34"/>
      <c r="AH391" s="34"/>
      <c r="AI391" s="34"/>
      <c r="AJ391" s="887"/>
    </row>
    <row r="392" spans="1:36">
      <c r="A392" s="355"/>
      <c r="B392" s="279">
        <v>14</v>
      </c>
      <c r="C392" s="279">
        <v>14</v>
      </c>
      <c r="D392" s="279"/>
      <c r="E392" s="279"/>
      <c r="F392" s="279"/>
      <c r="G392" s="279"/>
      <c r="H392" s="279"/>
      <c r="I392" s="34"/>
      <c r="J392" s="34"/>
      <c r="K392" s="34"/>
      <c r="L392" s="34"/>
      <c r="M392" s="34"/>
      <c r="N392" s="885"/>
      <c r="O392" s="34"/>
      <c r="P392" s="34"/>
      <c r="Q392" s="34"/>
      <c r="R392" s="34"/>
      <c r="S392" s="34"/>
      <c r="T392" s="34"/>
      <c r="U392" s="34"/>
      <c r="V392" s="34"/>
      <c r="W392" s="34"/>
      <c r="X392" s="34"/>
      <c r="Y392" s="34"/>
      <c r="Z392" s="34"/>
      <c r="AA392" s="34"/>
      <c r="AB392" s="34"/>
      <c r="AC392" s="34"/>
      <c r="AD392" s="34"/>
      <c r="AE392" s="34"/>
      <c r="AF392" s="34"/>
      <c r="AG392" s="34"/>
      <c r="AH392" s="34"/>
      <c r="AI392" s="34"/>
      <c r="AJ392" s="887"/>
    </row>
    <row r="393" spans="1:36">
      <c r="A393" s="355"/>
      <c r="B393" s="279">
        <v>15</v>
      </c>
      <c r="C393" s="279">
        <v>15</v>
      </c>
      <c r="D393" s="279"/>
      <c r="E393" s="279"/>
      <c r="F393" s="279"/>
      <c r="G393" s="279"/>
      <c r="H393" s="279"/>
      <c r="I393" s="34"/>
      <c r="J393" s="34"/>
      <c r="K393" s="34"/>
      <c r="L393" s="34"/>
      <c r="M393" s="34"/>
      <c r="N393" s="885"/>
      <c r="O393" s="34"/>
      <c r="P393" s="34"/>
      <c r="Q393" s="34"/>
      <c r="R393" s="34"/>
      <c r="S393" s="34"/>
      <c r="T393" s="34"/>
      <c r="U393" s="34"/>
      <c r="V393" s="34"/>
      <c r="W393" s="34"/>
      <c r="X393" s="34"/>
      <c r="Y393" s="34"/>
      <c r="Z393" s="34"/>
      <c r="AA393" s="34"/>
      <c r="AB393" s="34"/>
      <c r="AC393" s="34"/>
      <c r="AD393" s="34"/>
      <c r="AE393" s="34"/>
      <c r="AF393" s="34"/>
      <c r="AG393" s="34"/>
      <c r="AH393" s="34"/>
      <c r="AI393" s="34"/>
      <c r="AJ393" s="887"/>
    </row>
    <row r="394" spans="1:36">
      <c r="A394" s="355"/>
      <c r="B394" s="279">
        <v>16</v>
      </c>
      <c r="C394" s="279">
        <v>16</v>
      </c>
      <c r="D394" s="279"/>
      <c r="E394" s="279"/>
      <c r="F394" s="279"/>
      <c r="G394" s="279"/>
      <c r="H394" s="279"/>
      <c r="I394" s="34"/>
      <c r="J394" s="34"/>
      <c r="K394" s="34"/>
      <c r="L394" s="34"/>
      <c r="M394" s="34"/>
      <c r="N394" s="885"/>
      <c r="O394" s="34"/>
      <c r="P394" s="34"/>
      <c r="Q394" s="34"/>
      <c r="R394" s="34"/>
      <c r="S394" s="34"/>
      <c r="T394" s="34"/>
      <c r="U394" s="34"/>
      <c r="V394" s="34"/>
      <c r="W394" s="34"/>
      <c r="X394" s="34"/>
      <c r="Y394" s="34"/>
      <c r="Z394" s="34"/>
      <c r="AA394" s="34"/>
      <c r="AB394" s="34"/>
      <c r="AC394" s="34"/>
      <c r="AD394" s="34"/>
      <c r="AE394" s="34"/>
      <c r="AF394" s="34"/>
      <c r="AG394" s="34"/>
      <c r="AH394" s="34"/>
      <c r="AI394" s="34"/>
      <c r="AJ394" s="887"/>
    </row>
    <row r="395" spans="1:36">
      <c r="A395" s="355"/>
      <c r="B395" s="279">
        <v>17</v>
      </c>
      <c r="C395" s="279">
        <v>17</v>
      </c>
      <c r="D395" s="279"/>
      <c r="E395" s="279"/>
      <c r="F395" s="279"/>
      <c r="G395" s="279"/>
      <c r="H395" s="279"/>
      <c r="I395" s="34"/>
      <c r="J395" s="34"/>
      <c r="K395" s="34"/>
      <c r="L395" s="34"/>
      <c r="M395" s="34"/>
      <c r="N395" s="885"/>
      <c r="O395" s="34"/>
      <c r="P395" s="34"/>
      <c r="Q395" s="34"/>
      <c r="R395" s="34"/>
      <c r="S395" s="34"/>
      <c r="T395" s="34"/>
      <c r="U395" s="34"/>
      <c r="V395" s="34"/>
      <c r="W395" s="34"/>
      <c r="X395" s="34"/>
      <c r="Y395" s="34"/>
      <c r="Z395" s="34"/>
      <c r="AA395" s="34"/>
      <c r="AB395" s="34"/>
      <c r="AC395" s="34"/>
      <c r="AD395" s="34"/>
      <c r="AE395" s="34"/>
      <c r="AF395" s="34"/>
      <c r="AG395" s="34"/>
      <c r="AH395" s="34"/>
      <c r="AI395" s="34"/>
      <c r="AJ395" s="887"/>
    </row>
    <row r="396" spans="1:36">
      <c r="A396" s="355"/>
      <c r="B396" s="279">
        <v>18</v>
      </c>
      <c r="C396" s="279">
        <v>18</v>
      </c>
      <c r="D396" s="279"/>
      <c r="E396" s="279"/>
      <c r="F396" s="279"/>
      <c r="G396" s="279"/>
      <c r="H396" s="279"/>
      <c r="I396" s="34"/>
      <c r="J396" s="34"/>
      <c r="K396" s="34"/>
      <c r="L396" s="34"/>
      <c r="M396" s="34"/>
      <c r="N396" s="885"/>
      <c r="O396" s="34"/>
      <c r="P396" s="34"/>
      <c r="Q396" s="34"/>
      <c r="R396" s="34"/>
      <c r="S396" s="34"/>
      <c r="T396" s="34"/>
      <c r="U396" s="34"/>
      <c r="V396" s="34"/>
      <c r="W396" s="34"/>
      <c r="X396" s="34"/>
      <c r="Y396" s="34"/>
      <c r="Z396" s="34"/>
      <c r="AA396" s="34"/>
      <c r="AB396" s="34"/>
      <c r="AC396" s="34"/>
      <c r="AD396" s="34"/>
      <c r="AE396" s="34"/>
      <c r="AF396" s="34"/>
      <c r="AG396" s="34"/>
      <c r="AH396" s="34"/>
      <c r="AI396" s="34"/>
      <c r="AJ396" s="887"/>
    </row>
    <row r="397" spans="1:36">
      <c r="A397" s="355"/>
      <c r="B397" s="279">
        <v>19</v>
      </c>
      <c r="C397" s="279">
        <v>19</v>
      </c>
      <c r="D397" s="279"/>
      <c r="E397" s="279"/>
      <c r="F397" s="279"/>
      <c r="G397" s="279"/>
      <c r="H397" s="279"/>
      <c r="I397" s="34"/>
      <c r="J397" s="34"/>
      <c r="K397" s="34"/>
      <c r="L397" s="34"/>
      <c r="M397" s="34"/>
      <c r="N397" s="885"/>
      <c r="O397" s="34"/>
      <c r="P397" s="34"/>
      <c r="Q397" s="34"/>
      <c r="R397" s="34"/>
      <c r="S397" s="34"/>
      <c r="T397" s="34"/>
      <c r="U397" s="34"/>
      <c r="V397" s="34"/>
      <c r="W397" s="34"/>
      <c r="X397" s="34"/>
      <c r="Y397" s="34"/>
      <c r="Z397" s="34"/>
      <c r="AA397" s="34"/>
      <c r="AB397" s="34"/>
      <c r="AC397" s="34"/>
      <c r="AD397" s="34"/>
      <c r="AE397" s="34"/>
      <c r="AF397" s="34"/>
      <c r="AG397" s="34"/>
      <c r="AH397" s="34"/>
      <c r="AI397" s="34"/>
      <c r="AJ397" s="887"/>
    </row>
    <row r="398" spans="1:36">
      <c r="A398" s="355"/>
      <c r="B398" s="279">
        <v>20</v>
      </c>
      <c r="C398" s="279">
        <v>20</v>
      </c>
      <c r="D398" s="279"/>
      <c r="E398" s="279"/>
      <c r="F398" s="279"/>
      <c r="G398" s="279"/>
      <c r="H398" s="279"/>
      <c r="I398" s="34"/>
      <c r="J398" s="34"/>
      <c r="K398" s="34"/>
      <c r="L398" s="34"/>
      <c r="M398" s="34"/>
      <c r="N398" s="885"/>
      <c r="O398" s="34" t="s">
        <v>477</v>
      </c>
      <c r="P398" s="143">
        <v>0.51</v>
      </c>
      <c r="Q398" s="143">
        <v>0.51</v>
      </c>
      <c r="R398" s="143">
        <v>0.51</v>
      </c>
      <c r="S398" s="143">
        <v>900</v>
      </c>
      <c r="T398" s="143">
        <v>0.12</v>
      </c>
      <c r="U398" s="143">
        <v>121</v>
      </c>
      <c r="V398" s="143">
        <v>12</v>
      </c>
      <c r="W398" s="34"/>
      <c r="X398" s="34"/>
      <c r="Y398" s="34"/>
      <c r="Z398" s="34"/>
      <c r="AA398" s="34"/>
      <c r="AB398" s="34"/>
      <c r="AC398" s="34"/>
      <c r="AD398" s="34"/>
      <c r="AE398" s="34"/>
      <c r="AF398" s="34"/>
      <c r="AG398" s="34"/>
      <c r="AH398" s="34"/>
      <c r="AI398" s="34"/>
      <c r="AJ398" s="887"/>
    </row>
    <row r="399" spans="1:36">
      <c r="A399" s="355"/>
      <c r="B399" s="279">
        <v>21</v>
      </c>
      <c r="C399" s="279">
        <v>21</v>
      </c>
      <c r="D399" s="279"/>
      <c r="E399" s="279"/>
      <c r="F399" s="279"/>
      <c r="G399" s="279"/>
      <c r="H399" s="279"/>
      <c r="I399" s="34"/>
      <c r="J399" s="34"/>
      <c r="K399" s="34"/>
      <c r="L399" s="34"/>
      <c r="M399" s="34"/>
      <c r="N399" s="885"/>
      <c r="O399" s="34" t="s">
        <v>478</v>
      </c>
      <c r="P399" s="143">
        <v>1.02</v>
      </c>
      <c r="Q399" s="143">
        <v>1.02</v>
      </c>
      <c r="R399" s="143">
        <v>1.02</v>
      </c>
      <c r="S399" s="143">
        <v>500</v>
      </c>
      <c r="T399" s="143">
        <v>0.30099999999999999</v>
      </c>
      <c r="U399" s="143">
        <v>121</v>
      </c>
      <c r="V399" s="143">
        <v>12</v>
      </c>
      <c r="W399" s="34"/>
      <c r="X399" s="34"/>
      <c r="Y399" s="34"/>
      <c r="Z399" s="34"/>
      <c r="AA399" s="34"/>
      <c r="AB399" s="34"/>
      <c r="AC399" s="34"/>
      <c r="AD399" s="34"/>
      <c r="AE399" s="34"/>
      <c r="AF399" s="34"/>
      <c r="AG399" s="34"/>
      <c r="AH399" s="34"/>
      <c r="AI399" s="34"/>
      <c r="AJ399" s="887"/>
    </row>
    <row r="400" spans="1:36">
      <c r="A400" s="355"/>
      <c r="B400" s="279">
        <v>22</v>
      </c>
      <c r="C400" s="279">
        <v>22</v>
      </c>
      <c r="D400" s="279"/>
      <c r="E400" s="279"/>
      <c r="F400" s="279"/>
      <c r="G400" s="279"/>
      <c r="H400" s="279"/>
      <c r="I400" s="34"/>
      <c r="J400" s="34"/>
      <c r="K400" s="34"/>
      <c r="L400" s="34"/>
      <c r="M400" s="34"/>
      <c r="N400" s="885"/>
      <c r="O400" s="34" t="s">
        <v>479</v>
      </c>
      <c r="P400" s="143">
        <v>1.66</v>
      </c>
      <c r="Q400" s="143">
        <v>1.66</v>
      </c>
      <c r="R400" s="143">
        <v>1.66</v>
      </c>
      <c r="S400" s="143">
        <v>370</v>
      </c>
      <c r="T400" s="143">
        <v>0.48199999999999998</v>
      </c>
      <c r="U400" s="143">
        <v>121</v>
      </c>
      <c r="V400" s="143">
        <v>12</v>
      </c>
      <c r="W400" s="34"/>
      <c r="X400" s="34"/>
      <c r="Y400" s="34"/>
      <c r="Z400" s="34"/>
      <c r="AA400" s="34"/>
      <c r="AB400" s="34"/>
      <c r="AC400" s="34"/>
      <c r="AD400" s="34"/>
      <c r="AE400" s="34"/>
      <c r="AF400" s="34"/>
      <c r="AG400" s="34"/>
      <c r="AH400" s="34"/>
      <c r="AI400" s="34"/>
      <c r="AJ400" s="887"/>
    </row>
    <row r="401" spans="1:36">
      <c r="A401" s="355"/>
      <c r="B401" s="279">
        <v>23</v>
      </c>
      <c r="C401" s="279">
        <v>23</v>
      </c>
      <c r="D401" s="279"/>
      <c r="E401" s="279"/>
      <c r="F401" s="279"/>
      <c r="G401" s="279"/>
      <c r="H401" s="279"/>
      <c r="I401" s="34"/>
      <c r="J401" s="34"/>
      <c r="K401" s="34"/>
      <c r="L401" s="34"/>
      <c r="M401" s="34"/>
      <c r="N401" s="885"/>
      <c r="O401" s="34" t="s">
        <v>480</v>
      </c>
      <c r="P401" s="143">
        <v>1.91</v>
      </c>
      <c r="Q401" s="143">
        <v>1.91</v>
      </c>
      <c r="R401" s="143">
        <v>1.91</v>
      </c>
      <c r="S401" s="143">
        <v>470</v>
      </c>
      <c r="T401" s="143">
        <v>0.52100000000000002</v>
      </c>
      <c r="U401" s="143">
        <v>121</v>
      </c>
      <c r="V401" s="143">
        <v>12</v>
      </c>
      <c r="W401" s="34"/>
      <c r="X401" s="34"/>
      <c r="Y401" s="34"/>
      <c r="Z401" s="34"/>
      <c r="AA401" s="34"/>
      <c r="AB401" s="34"/>
      <c r="AC401" s="34"/>
      <c r="AD401" s="34"/>
      <c r="AE401" s="34"/>
      <c r="AF401" s="34"/>
      <c r="AG401" s="34"/>
      <c r="AH401" s="34"/>
      <c r="AI401" s="34"/>
      <c r="AJ401" s="887"/>
    </row>
    <row r="402" spans="1:36">
      <c r="A402" s="355"/>
      <c r="B402" s="279">
        <v>24</v>
      </c>
      <c r="C402" s="279">
        <v>24</v>
      </c>
      <c r="D402" s="279"/>
      <c r="E402" s="279"/>
      <c r="F402" s="279"/>
      <c r="G402" s="279"/>
      <c r="H402" s="279"/>
      <c r="I402" s="34"/>
      <c r="J402" s="34"/>
      <c r="K402" s="34"/>
      <c r="L402" s="34"/>
      <c r="M402" s="34"/>
      <c r="N402" s="885"/>
      <c r="O402" s="34" t="s">
        <v>481</v>
      </c>
      <c r="P402" s="143">
        <v>2.4700000000000002</v>
      </c>
      <c r="Q402" s="143">
        <v>2.4700000000000002</v>
      </c>
      <c r="R402" s="143">
        <v>2.4700000000000002</v>
      </c>
      <c r="S402" s="143">
        <v>260</v>
      </c>
      <c r="T402" s="143">
        <v>1</v>
      </c>
      <c r="U402" s="143">
        <v>85</v>
      </c>
      <c r="V402" s="143">
        <v>12</v>
      </c>
      <c r="W402" s="34"/>
      <c r="X402" s="34"/>
      <c r="Y402" s="34"/>
      <c r="Z402" s="34"/>
      <c r="AA402" s="34"/>
      <c r="AB402" s="34"/>
      <c r="AC402" s="34"/>
      <c r="AD402" s="34"/>
      <c r="AE402" s="34"/>
      <c r="AF402" s="34"/>
      <c r="AG402" s="34"/>
      <c r="AH402" s="34"/>
      <c r="AI402" s="34"/>
      <c r="AJ402" s="887"/>
    </row>
    <row r="403" spans="1:36">
      <c r="A403" s="355"/>
      <c r="B403" s="279"/>
      <c r="C403" s="279"/>
      <c r="D403" s="279"/>
      <c r="E403" s="279"/>
      <c r="F403" s="279"/>
      <c r="G403" s="279"/>
      <c r="H403" s="279"/>
      <c r="I403" s="34"/>
      <c r="J403" s="34"/>
      <c r="K403" s="34"/>
      <c r="L403" s="34"/>
      <c r="M403" s="34"/>
      <c r="N403" s="885"/>
      <c r="O403" s="34" t="s">
        <v>482</v>
      </c>
      <c r="P403" s="143">
        <v>3.5</v>
      </c>
      <c r="Q403" s="143">
        <v>3.5</v>
      </c>
      <c r="R403" s="143">
        <v>3.5</v>
      </c>
      <c r="S403" s="143">
        <v>200</v>
      </c>
      <c r="T403" s="143">
        <v>1.41</v>
      </c>
      <c r="U403" s="143">
        <v>85</v>
      </c>
      <c r="V403" s="143">
        <v>12</v>
      </c>
      <c r="W403" s="34"/>
      <c r="X403" s="34"/>
      <c r="Y403" s="34"/>
      <c r="Z403" s="34"/>
      <c r="AA403" s="34"/>
      <c r="AB403" s="34"/>
      <c r="AC403" s="34"/>
      <c r="AD403" s="34"/>
      <c r="AE403" s="34"/>
      <c r="AF403" s="34"/>
      <c r="AG403" s="34"/>
      <c r="AH403" s="34"/>
      <c r="AI403" s="34"/>
      <c r="AJ403" s="887"/>
    </row>
    <row r="404" spans="1:36">
      <c r="A404" s="355"/>
      <c r="B404" s="279"/>
      <c r="C404" s="279"/>
      <c r="D404" s="279"/>
      <c r="E404" s="279"/>
      <c r="F404" s="279"/>
      <c r="G404" s="279"/>
      <c r="H404" s="279"/>
      <c r="I404" s="34"/>
      <c r="J404" s="34"/>
      <c r="K404" s="34"/>
      <c r="L404" s="34"/>
      <c r="M404" s="34"/>
      <c r="N404" s="885"/>
      <c r="O404" s="34" t="s">
        <v>483</v>
      </c>
      <c r="P404" s="143">
        <v>6.35</v>
      </c>
      <c r="Q404" s="143">
        <v>6.35</v>
      </c>
      <c r="R404" s="143">
        <v>6.35</v>
      </c>
      <c r="S404" s="143">
        <v>110</v>
      </c>
      <c r="T404" s="143">
        <v>2.7</v>
      </c>
      <c r="U404" s="143">
        <v>85</v>
      </c>
      <c r="V404" s="143">
        <v>12</v>
      </c>
      <c r="W404" s="34"/>
      <c r="X404" s="34"/>
      <c r="Y404" s="34"/>
      <c r="Z404" s="34"/>
      <c r="AA404" s="34"/>
      <c r="AB404" s="34"/>
      <c r="AC404" s="34"/>
      <c r="AD404" s="34"/>
      <c r="AE404" s="34"/>
      <c r="AF404" s="34"/>
      <c r="AG404" s="34"/>
      <c r="AH404" s="34"/>
      <c r="AI404" s="34"/>
      <c r="AJ404" s="887"/>
    </row>
    <row r="405" spans="1:36">
      <c r="A405" s="355"/>
      <c r="B405" s="279"/>
      <c r="C405" s="279"/>
      <c r="D405" s="279"/>
      <c r="E405" s="279"/>
      <c r="F405" s="279"/>
      <c r="G405" s="279"/>
      <c r="H405" s="279"/>
      <c r="I405" s="34"/>
      <c r="J405" s="34"/>
      <c r="K405" s="34"/>
      <c r="L405" s="34"/>
      <c r="M405" s="34"/>
      <c r="N405" s="885"/>
      <c r="O405" s="34" t="s">
        <v>484</v>
      </c>
      <c r="P405" s="143">
        <v>8.5</v>
      </c>
      <c r="Q405" s="143">
        <v>8.5</v>
      </c>
      <c r="R405" s="143">
        <v>8.5</v>
      </c>
      <c r="S405" s="143">
        <v>100</v>
      </c>
      <c r="T405" s="143">
        <v>4.01</v>
      </c>
      <c r="U405" s="143">
        <v>85</v>
      </c>
      <c r="V405" s="143">
        <v>12</v>
      </c>
      <c r="W405" s="34"/>
      <c r="X405" s="34"/>
      <c r="Y405" s="34"/>
      <c r="Z405" s="34"/>
      <c r="AA405" s="34"/>
      <c r="AB405" s="34"/>
      <c r="AC405" s="34"/>
      <c r="AD405" s="34"/>
      <c r="AE405" s="34"/>
      <c r="AF405" s="34"/>
      <c r="AG405" s="34"/>
      <c r="AH405" s="34"/>
      <c r="AI405" s="34"/>
      <c r="AJ405" s="887"/>
    </row>
    <row r="406" spans="1:36">
      <c r="A406" s="355"/>
      <c r="B406" s="34"/>
      <c r="C406" s="34"/>
      <c r="D406" s="34"/>
      <c r="E406" s="34"/>
      <c r="F406" s="34"/>
      <c r="G406" s="34"/>
      <c r="H406" s="34"/>
      <c r="I406" s="34"/>
      <c r="J406" s="34"/>
      <c r="K406" s="34"/>
      <c r="L406" s="34"/>
      <c r="M406" s="34"/>
      <c r="N406" s="885"/>
      <c r="O406" s="34" t="s">
        <v>477</v>
      </c>
      <c r="P406" s="143">
        <v>0.51</v>
      </c>
      <c r="Q406" s="143">
        <v>0.51</v>
      </c>
      <c r="R406" s="143">
        <v>0.51</v>
      </c>
      <c r="S406" s="143">
        <v>1800</v>
      </c>
      <c r="T406" s="143">
        <v>0.12</v>
      </c>
      <c r="U406" s="143">
        <v>121</v>
      </c>
      <c r="V406" s="143">
        <v>24</v>
      </c>
      <c r="W406" s="34"/>
      <c r="X406" s="34"/>
      <c r="Y406" s="34"/>
      <c r="Z406" s="34"/>
      <c r="AA406" s="34"/>
      <c r="AB406" s="34"/>
      <c r="AC406" s="34"/>
      <c r="AD406" s="34"/>
      <c r="AE406" s="34"/>
      <c r="AF406" s="34"/>
      <c r="AG406" s="34"/>
      <c r="AH406" s="34"/>
      <c r="AI406" s="34"/>
      <c r="AJ406" s="887"/>
    </row>
    <row r="407" spans="1:36">
      <c r="A407" s="355"/>
      <c r="B407" s="34"/>
      <c r="C407" s="34"/>
      <c r="D407" s="34"/>
      <c r="E407" s="34"/>
      <c r="F407" s="34"/>
      <c r="G407" s="34"/>
      <c r="H407" s="34"/>
      <c r="I407" s="34"/>
      <c r="J407" s="34"/>
      <c r="K407" s="34"/>
      <c r="L407" s="34"/>
      <c r="M407" s="34"/>
      <c r="N407" s="885"/>
      <c r="O407" s="34" t="s">
        <v>478</v>
      </c>
      <c r="P407" s="143">
        <v>1.02</v>
      </c>
      <c r="Q407" s="143">
        <v>1.02</v>
      </c>
      <c r="R407" s="143">
        <v>1.02</v>
      </c>
      <c r="S407" s="143">
        <v>1030</v>
      </c>
      <c r="T407" s="143">
        <v>0.30099999999999999</v>
      </c>
      <c r="U407" s="143">
        <v>121</v>
      </c>
      <c r="V407" s="143">
        <v>24</v>
      </c>
      <c r="W407" s="34"/>
      <c r="X407" s="34"/>
      <c r="Y407" s="34"/>
      <c r="Z407" s="34"/>
      <c r="AA407" s="34"/>
      <c r="AB407" s="34"/>
      <c r="AC407" s="34"/>
      <c r="AD407" s="34"/>
      <c r="AE407" s="34"/>
      <c r="AF407" s="34"/>
      <c r="AG407" s="34"/>
      <c r="AH407" s="34"/>
      <c r="AI407" s="34"/>
      <c r="AJ407" s="887"/>
    </row>
    <row r="408" spans="1:36">
      <c r="A408" s="355"/>
      <c r="B408" s="34"/>
      <c r="C408" s="34"/>
      <c r="D408" s="279" t="s">
        <v>100</v>
      </c>
      <c r="E408" s="279" t="s">
        <v>101</v>
      </c>
      <c r="F408" s="279" t="s">
        <v>102</v>
      </c>
      <c r="G408" s="279" t="s">
        <v>103</v>
      </c>
      <c r="H408" s="279" t="s">
        <v>79</v>
      </c>
      <c r="I408" s="34"/>
      <c r="J408" s="34"/>
      <c r="K408" s="34"/>
      <c r="L408" s="34"/>
      <c r="M408" s="34"/>
      <c r="N408" s="885"/>
      <c r="O408" s="34" t="s">
        <v>479</v>
      </c>
      <c r="P408" s="143">
        <v>1.66</v>
      </c>
      <c r="Q408" s="143">
        <v>1.66</v>
      </c>
      <c r="R408" s="143">
        <v>1.66</v>
      </c>
      <c r="S408" s="143">
        <v>700</v>
      </c>
      <c r="T408" s="143">
        <v>0.48199999999999998</v>
      </c>
      <c r="U408" s="143">
        <v>121</v>
      </c>
      <c r="V408" s="143">
        <v>24</v>
      </c>
      <c r="W408" s="34"/>
      <c r="X408" s="34"/>
      <c r="Y408" s="34"/>
      <c r="Z408" s="34"/>
      <c r="AA408" s="34"/>
      <c r="AB408" s="34"/>
      <c r="AC408" s="34"/>
      <c r="AD408" s="34"/>
      <c r="AE408" s="34"/>
      <c r="AF408" s="34"/>
      <c r="AG408" s="34"/>
      <c r="AH408" s="34"/>
      <c r="AI408" s="34"/>
      <c r="AJ408" s="887"/>
    </row>
    <row r="409" spans="1:36">
      <c r="A409" s="355"/>
      <c r="B409" s="34" t="s">
        <v>117</v>
      </c>
      <c r="C409" s="34"/>
      <c r="D409" s="279" t="s">
        <v>7</v>
      </c>
      <c r="E409" s="279" t="s">
        <v>7</v>
      </c>
      <c r="F409" s="279" t="s">
        <v>7</v>
      </c>
      <c r="G409" s="279" t="s">
        <v>17</v>
      </c>
      <c r="H409" s="279" t="s">
        <v>80</v>
      </c>
      <c r="I409" s="34"/>
      <c r="J409" s="34"/>
      <c r="K409" s="34"/>
      <c r="L409" s="34"/>
      <c r="M409" s="34"/>
      <c r="N409" s="885"/>
      <c r="O409" s="34" t="s">
        <v>480</v>
      </c>
      <c r="P409" s="143">
        <v>1.91</v>
      </c>
      <c r="Q409" s="143">
        <v>1.91</v>
      </c>
      <c r="R409" s="143">
        <v>1.91</v>
      </c>
      <c r="S409" s="143">
        <v>900</v>
      </c>
      <c r="T409" s="143">
        <v>0.52100000000000002</v>
      </c>
      <c r="U409" s="143">
        <v>121</v>
      </c>
      <c r="V409" s="143">
        <v>24</v>
      </c>
      <c r="W409" s="34"/>
      <c r="X409" s="34"/>
      <c r="Y409" s="34"/>
      <c r="Z409" s="34"/>
      <c r="AA409" s="34"/>
      <c r="AB409" s="34"/>
      <c r="AC409" s="34"/>
      <c r="AD409" s="34"/>
      <c r="AE409" s="34"/>
      <c r="AF409" s="34"/>
      <c r="AG409" s="34"/>
      <c r="AH409" s="34"/>
      <c r="AI409" s="34"/>
      <c r="AJ409" s="887"/>
    </row>
    <row r="410" spans="1:36">
      <c r="A410" s="355"/>
      <c r="B410" s="236">
        <f ca="1">B150</f>
        <v>5</v>
      </c>
      <c r="C410" s="236" t="str">
        <f ca="1">VLOOKUP(B410,B411:H434,2)</f>
        <v>IEC63-2 Brake 0,25 kW</v>
      </c>
      <c r="D410" s="236">
        <f ca="1">VLOOKUP(B410,B411:H434,3)</f>
        <v>0.88</v>
      </c>
      <c r="E410" s="236">
        <f ca="1">VLOOKUP(B410,B411:H434,4)</f>
        <v>1.9360000000000002</v>
      </c>
      <c r="F410" s="236">
        <f ca="1">VLOOKUP(B410,B411:H434,5)</f>
        <v>0.88</v>
      </c>
      <c r="G410" s="236">
        <f ca="1">VLOOKUP(B410,B411:H434,6)</f>
        <v>2710</v>
      </c>
      <c r="H410" s="236">
        <f ca="1">VLOOKUP(B410,B411:H434,7)</f>
        <v>2.1</v>
      </c>
      <c r="I410" s="34"/>
      <c r="J410" s="34"/>
      <c r="K410" s="34"/>
      <c r="L410" s="34"/>
      <c r="M410" s="34"/>
      <c r="N410" s="885"/>
      <c r="O410" s="34" t="s">
        <v>481</v>
      </c>
      <c r="P410" s="143">
        <v>2.4700000000000002</v>
      </c>
      <c r="Q410" s="143">
        <v>2.4700000000000002</v>
      </c>
      <c r="R410" s="143">
        <v>2.4700000000000002</v>
      </c>
      <c r="S410" s="143">
        <v>510</v>
      </c>
      <c r="T410" s="143">
        <v>1</v>
      </c>
      <c r="U410" s="143">
        <v>85</v>
      </c>
      <c r="V410" s="143">
        <v>24</v>
      </c>
      <c r="W410" s="34"/>
      <c r="X410" s="34"/>
      <c r="Y410" s="34"/>
      <c r="Z410" s="34"/>
      <c r="AA410" s="34"/>
      <c r="AB410" s="34"/>
      <c r="AC410" s="34"/>
      <c r="AD410" s="34"/>
      <c r="AE410" s="34"/>
      <c r="AF410" s="34"/>
      <c r="AG410" s="34"/>
      <c r="AH410" s="34"/>
      <c r="AI410" s="34"/>
      <c r="AJ410" s="887"/>
    </row>
    <row r="411" spans="1:36" ht="30">
      <c r="A411" s="355"/>
      <c r="B411" s="143">
        <v>1</v>
      </c>
      <c r="C411" s="358" t="s">
        <v>118</v>
      </c>
      <c r="D411" s="143">
        <v>0.42</v>
      </c>
      <c r="E411" s="143">
        <f>D411*2.2</f>
        <v>0.92400000000000004</v>
      </c>
      <c r="F411" s="143">
        <f t="shared" ref="F411:F420" si="58">D411</f>
        <v>0.42</v>
      </c>
      <c r="G411" s="143">
        <v>2730</v>
      </c>
      <c r="H411" s="143">
        <v>1.2</v>
      </c>
      <c r="I411" s="34"/>
      <c r="J411" s="34"/>
      <c r="K411" s="34"/>
      <c r="L411" s="34"/>
      <c r="M411" s="34"/>
      <c r="N411" s="885"/>
      <c r="O411" s="34" t="s">
        <v>482</v>
      </c>
      <c r="P411" s="143">
        <v>3.5</v>
      </c>
      <c r="Q411" s="143">
        <v>3.5</v>
      </c>
      <c r="R411" s="143">
        <v>3.5</v>
      </c>
      <c r="S411" s="143">
        <v>300</v>
      </c>
      <c r="T411" s="143">
        <v>1.41</v>
      </c>
      <c r="U411" s="143">
        <v>85</v>
      </c>
      <c r="V411" s="143">
        <v>24</v>
      </c>
      <c r="W411" s="34"/>
      <c r="X411" s="34"/>
      <c r="Y411" s="34"/>
      <c r="Z411" s="34"/>
      <c r="AA411" s="34"/>
      <c r="AB411" s="34"/>
      <c r="AC411" s="34"/>
      <c r="AD411" s="34"/>
      <c r="AE411" s="34"/>
      <c r="AF411" s="34"/>
      <c r="AG411" s="34"/>
      <c r="AH411" s="34"/>
      <c r="AI411" s="34"/>
      <c r="AJ411" s="887"/>
    </row>
    <row r="412" spans="1:36" ht="30">
      <c r="A412" s="355"/>
      <c r="B412" s="143">
        <v>2</v>
      </c>
      <c r="C412" s="358" t="s">
        <v>119</v>
      </c>
      <c r="D412" s="143">
        <v>0.64</v>
      </c>
      <c r="E412" s="143">
        <f>D412*2.3</f>
        <v>1.472</v>
      </c>
      <c r="F412" s="143">
        <f t="shared" si="58"/>
        <v>0.64</v>
      </c>
      <c r="G412" s="143">
        <v>1320</v>
      </c>
      <c r="H412" s="143">
        <v>2</v>
      </c>
      <c r="I412" s="34"/>
      <c r="J412" s="34"/>
      <c r="K412" s="34"/>
      <c r="L412" s="34"/>
      <c r="M412" s="34"/>
      <c r="N412" s="885"/>
      <c r="O412" s="34" t="s">
        <v>484</v>
      </c>
      <c r="P412" s="143">
        <v>8.5</v>
      </c>
      <c r="Q412" s="143">
        <v>8.5</v>
      </c>
      <c r="R412" s="143">
        <v>8.5</v>
      </c>
      <c r="S412" s="143">
        <v>200</v>
      </c>
      <c r="T412" s="143">
        <v>4.01</v>
      </c>
      <c r="U412" s="143">
        <v>85</v>
      </c>
      <c r="V412" s="143">
        <v>24</v>
      </c>
      <c r="W412" s="34"/>
      <c r="X412" s="34"/>
      <c r="Y412" s="34"/>
      <c r="Z412" s="34"/>
      <c r="AA412" s="34"/>
      <c r="AB412" s="34"/>
      <c r="AC412" s="34"/>
      <c r="AD412" s="34"/>
      <c r="AE412" s="34"/>
      <c r="AF412" s="34"/>
      <c r="AG412" s="34"/>
      <c r="AH412" s="34"/>
      <c r="AI412" s="34"/>
      <c r="AJ412" s="887"/>
    </row>
    <row r="413" spans="1:36" ht="30">
      <c r="A413" s="355"/>
      <c r="B413" s="143">
        <v>3</v>
      </c>
      <c r="C413" s="358" t="s">
        <v>120</v>
      </c>
      <c r="D413" s="143">
        <v>0.88</v>
      </c>
      <c r="E413" s="143">
        <f t="shared" ref="E413:E420" si="59">D413*2.2</f>
        <v>1.9360000000000002</v>
      </c>
      <c r="F413" s="143">
        <f t="shared" si="58"/>
        <v>0.88</v>
      </c>
      <c r="G413" s="143">
        <v>2750</v>
      </c>
      <c r="H413" s="143">
        <v>1.6</v>
      </c>
      <c r="I413" s="34"/>
      <c r="J413" s="34"/>
      <c r="K413" s="34"/>
      <c r="L413" s="34"/>
      <c r="M413" s="34"/>
      <c r="N413" s="885"/>
      <c r="O413" s="34" t="s">
        <v>483</v>
      </c>
      <c r="P413" s="143">
        <v>6.35</v>
      </c>
      <c r="Q413" s="143">
        <v>6.35</v>
      </c>
      <c r="R413" s="143">
        <v>6.35</v>
      </c>
      <c r="S413" s="143">
        <v>240</v>
      </c>
      <c r="T413" s="143">
        <v>2.7</v>
      </c>
      <c r="U413" s="143">
        <v>85</v>
      </c>
      <c r="V413" s="143">
        <v>24</v>
      </c>
      <c r="W413" s="34"/>
      <c r="X413" s="34"/>
      <c r="Y413" s="34"/>
      <c r="Z413" s="34"/>
      <c r="AA413" s="34"/>
      <c r="AB413" s="34"/>
      <c r="AC413" s="34"/>
      <c r="AD413" s="34"/>
      <c r="AE413" s="34"/>
      <c r="AF413" s="34"/>
      <c r="AG413" s="34"/>
      <c r="AH413" s="34"/>
      <c r="AI413" s="34"/>
      <c r="AJ413" s="887"/>
    </row>
    <row r="414" spans="1:36" ht="30">
      <c r="A414" s="355"/>
      <c r="B414" s="143">
        <v>4</v>
      </c>
      <c r="C414" s="358" t="s">
        <v>121</v>
      </c>
      <c r="D414" s="143">
        <v>1.3</v>
      </c>
      <c r="E414" s="143">
        <f t="shared" si="59"/>
        <v>2.8600000000000003</v>
      </c>
      <c r="F414" s="143">
        <f t="shared" si="58"/>
        <v>1.3</v>
      </c>
      <c r="G414" s="143">
        <v>1350</v>
      </c>
      <c r="H414" s="143">
        <v>3.2</v>
      </c>
      <c r="I414" s="34"/>
      <c r="J414" s="34"/>
      <c r="K414" s="34"/>
      <c r="L414" s="34"/>
      <c r="M414" s="34"/>
      <c r="N414" s="885"/>
      <c r="O414" s="34" t="s">
        <v>477</v>
      </c>
      <c r="P414" s="143">
        <v>0.51</v>
      </c>
      <c r="Q414" s="143">
        <v>0.51</v>
      </c>
      <c r="R414" s="143">
        <v>0.51</v>
      </c>
      <c r="S414" s="143">
        <v>3000</v>
      </c>
      <c r="T414" s="143">
        <v>0.12</v>
      </c>
      <c r="U414" s="143">
        <v>121</v>
      </c>
      <c r="V414" s="143">
        <v>48</v>
      </c>
      <c r="W414" s="34"/>
      <c r="X414" s="34"/>
      <c r="Y414" s="34"/>
      <c r="Z414" s="34"/>
      <c r="AA414" s="34"/>
      <c r="AB414" s="34"/>
      <c r="AC414" s="34"/>
      <c r="AD414" s="34"/>
      <c r="AE414" s="34"/>
      <c r="AF414" s="34"/>
      <c r="AG414" s="34"/>
      <c r="AH414" s="34"/>
      <c r="AI414" s="34"/>
      <c r="AJ414" s="887"/>
    </row>
    <row r="415" spans="1:36" ht="45">
      <c r="A415" s="355"/>
      <c r="B415" s="143">
        <v>5</v>
      </c>
      <c r="C415" s="358" t="s">
        <v>149</v>
      </c>
      <c r="D415" s="143">
        <v>0.88</v>
      </c>
      <c r="E415" s="143">
        <f t="shared" si="59"/>
        <v>1.9360000000000002</v>
      </c>
      <c r="F415" s="143">
        <f t="shared" si="58"/>
        <v>0.88</v>
      </c>
      <c r="G415" s="143">
        <v>2710</v>
      </c>
      <c r="H415" s="143">
        <v>2.1</v>
      </c>
      <c r="I415" s="34"/>
      <c r="J415" s="34"/>
      <c r="K415" s="34"/>
      <c r="L415" s="34"/>
      <c r="M415" s="34"/>
      <c r="N415" s="885"/>
      <c r="O415" s="34" t="s">
        <v>478</v>
      </c>
      <c r="P415" s="143">
        <v>1.02</v>
      </c>
      <c r="Q415" s="143">
        <v>1.02</v>
      </c>
      <c r="R415" s="143">
        <v>1.02</v>
      </c>
      <c r="S415" s="143">
        <v>1900</v>
      </c>
      <c r="T415" s="143">
        <v>0.30099999999999999</v>
      </c>
      <c r="U415" s="143">
        <v>121</v>
      </c>
      <c r="V415" s="143">
        <v>48</v>
      </c>
      <c r="W415" s="34"/>
      <c r="X415" s="34"/>
      <c r="Y415" s="34"/>
      <c r="Z415" s="34"/>
      <c r="AA415" s="34"/>
      <c r="AB415" s="34"/>
      <c r="AC415" s="34"/>
      <c r="AD415" s="34"/>
      <c r="AE415" s="34"/>
      <c r="AF415" s="34"/>
      <c r="AG415" s="34"/>
      <c r="AH415" s="34"/>
      <c r="AI415" s="34"/>
      <c r="AJ415" s="887"/>
    </row>
    <row r="416" spans="1:36" ht="45">
      <c r="A416" s="355"/>
      <c r="B416" s="143">
        <v>6</v>
      </c>
      <c r="C416" s="358" t="s">
        <v>150</v>
      </c>
      <c r="D416" s="143">
        <v>1.3</v>
      </c>
      <c r="E416" s="143">
        <f t="shared" si="59"/>
        <v>2.8600000000000003</v>
      </c>
      <c r="F416" s="143">
        <f t="shared" si="58"/>
        <v>1.3</v>
      </c>
      <c r="G416" s="143">
        <v>1350</v>
      </c>
      <c r="H416" s="143">
        <v>3.7</v>
      </c>
      <c r="I416" s="34"/>
      <c r="J416" s="34"/>
      <c r="K416" s="34"/>
      <c r="L416" s="34"/>
      <c r="M416" s="34"/>
      <c r="N416" s="885"/>
      <c r="O416" s="34" t="s">
        <v>479</v>
      </c>
      <c r="P416" s="143">
        <v>1.66</v>
      </c>
      <c r="Q416" s="143">
        <v>1.66</v>
      </c>
      <c r="R416" s="143">
        <v>1.66</v>
      </c>
      <c r="S416" s="143">
        <v>1400</v>
      </c>
      <c r="T416" s="143">
        <v>0.48199999999999998</v>
      </c>
      <c r="U416" s="143">
        <v>121</v>
      </c>
      <c r="V416" s="143">
        <v>48</v>
      </c>
      <c r="W416" s="34"/>
      <c r="X416" s="34"/>
      <c r="Y416" s="34"/>
      <c r="Z416" s="34"/>
      <c r="AA416" s="34"/>
      <c r="AB416" s="34"/>
      <c r="AC416" s="34"/>
      <c r="AD416" s="34"/>
      <c r="AE416" s="34"/>
      <c r="AF416" s="34"/>
      <c r="AG416" s="34"/>
      <c r="AH416" s="34"/>
      <c r="AI416" s="34"/>
      <c r="AJ416" s="887"/>
    </row>
    <row r="417" spans="1:36" ht="30">
      <c r="A417" s="355"/>
      <c r="B417" s="143">
        <v>7</v>
      </c>
      <c r="C417" s="358" t="s">
        <v>122</v>
      </c>
      <c r="D417" s="143">
        <v>1.9</v>
      </c>
      <c r="E417" s="143">
        <f t="shared" si="59"/>
        <v>4.18</v>
      </c>
      <c r="F417" s="143">
        <f t="shared" si="58"/>
        <v>1.9</v>
      </c>
      <c r="G417" s="143">
        <v>2760</v>
      </c>
      <c r="H417" s="143">
        <v>4.2</v>
      </c>
      <c r="I417" s="34"/>
      <c r="J417" s="34"/>
      <c r="K417" s="34"/>
      <c r="L417" s="34"/>
      <c r="M417" s="34"/>
      <c r="N417" s="885"/>
      <c r="O417" s="34" t="s">
        <v>480</v>
      </c>
      <c r="P417" s="143">
        <v>1.91</v>
      </c>
      <c r="Q417" s="143">
        <v>1.91</v>
      </c>
      <c r="R417" s="143">
        <v>1.91</v>
      </c>
      <c r="S417" s="143">
        <v>1800</v>
      </c>
      <c r="T417" s="143">
        <v>0.52100000000000002</v>
      </c>
      <c r="U417" s="143">
        <v>121</v>
      </c>
      <c r="V417" s="143">
        <v>48</v>
      </c>
      <c r="W417" s="34"/>
      <c r="X417" s="34"/>
      <c r="Y417" s="34"/>
      <c r="Z417" s="34"/>
      <c r="AA417" s="34"/>
      <c r="AB417" s="34"/>
      <c r="AC417" s="34"/>
      <c r="AD417" s="34"/>
      <c r="AE417" s="34"/>
      <c r="AF417" s="34"/>
      <c r="AG417" s="34"/>
      <c r="AH417" s="34"/>
      <c r="AI417" s="34"/>
      <c r="AJ417" s="887"/>
    </row>
    <row r="418" spans="1:36" ht="30">
      <c r="A418" s="355"/>
      <c r="B418" s="143">
        <v>8</v>
      </c>
      <c r="C418" s="358" t="s">
        <v>123</v>
      </c>
      <c r="D418" s="143">
        <v>2.6</v>
      </c>
      <c r="E418" s="143">
        <f t="shared" si="59"/>
        <v>5.7200000000000006</v>
      </c>
      <c r="F418" s="143">
        <f t="shared" si="58"/>
        <v>2.6</v>
      </c>
      <c r="G418" s="143">
        <v>1370</v>
      </c>
      <c r="H418" s="143">
        <v>8.1</v>
      </c>
      <c r="I418" s="34"/>
      <c r="J418" s="34"/>
      <c r="K418" s="34"/>
      <c r="L418" s="34"/>
      <c r="M418" s="34"/>
      <c r="N418" s="885"/>
      <c r="O418" s="34" t="s">
        <v>481</v>
      </c>
      <c r="P418" s="143">
        <v>2.4700000000000002</v>
      </c>
      <c r="Q418" s="143">
        <v>2.4700000000000002</v>
      </c>
      <c r="R418" s="143">
        <v>2.4700000000000002</v>
      </c>
      <c r="S418" s="143">
        <v>1050</v>
      </c>
      <c r="T418" s="143">
        <v>1</v>
      </c>
      <c r="U418" s="143">
        <v>85</v>
      </c>
      <c r="V418" s="143">
        <v>48</v>
      </c>
      <c r="W418" s="34"/>
      <c r="X418" s="34"/>
      <c r="Y418" s="34"/>
      <c r="Z418" s="34"/>
      <c r="AA418" s="34"/>
      <c r="AB418" s="34"/>
      <c r="AC418" s="34"/>
      <c r="AD418" s="34"/>
      <c r="AE418" s="34"/>
      <c r="AF418" s="34"/>
      <c r="AG418" s="34"/>
      <c r="AH418" s="34"/>
      <c r="AI418" s="34"/>
      <c r="AJ418" s="887"/>
    </row>
    <row r="419" spans="1:36" ht="45">
      <c r="A419" s="355"/>
      <c r="B419" s="143">
        <v>9</v>
      </c>
      <c r="C419" s="358" t="s">
        <v>148</v>
      </c>
      <c r="D419" s="143">
        <v>1.9</v>
      </c>
      <c r="E419" s="143">
        <f t="shared" si="59"/>
        <v>4.18</v>
      </c>
      <c r="F419" s="143">
        <f t="shared" si="58"/>
        <v>1.9</v>
      </c>
      <c r="G419" s="143">
        <v>2760</v>
      </c>
      <c r="H419" s="143">
        <v>4.8</v>
      </c>
      <c r="I419" s="34"/>
      <c r="J419" s="34"/>
      <c r="K419" s="34"/>
      <c r="L419" s="34"/>
      <c r="M419" s="34"/>
      <c r="N419" s="885"/>
      <c r="O419" s="34" t="s">
        <v>482</v>
      </c>
      <c r="P419" s="143">
        <v>3.5</v>
      </c>
      <c r="Q419" s="143">
        <v>3.5</v>
      </c>
      <c r="R419" s="143">
        <v>3.5</v>
      </c>
      <c r="S419" s="143">
        <v>580</v>
      </c>
      <c r="T419" s="143">
        <v>1.41</v>
      </c>
      <c r="U419" s="143">
        <v>85</v>
      </c>
      <c r="V419" s="143">
        <v>48</v>
      </c>
      <c r="W419" s="34"/>
      <c r="X419" s="34"/>
      <c r="Y419" s="34"/>
      <c r="Z419" s="34"/>
      <c r="AA419" s="34"/>
      <c r="AB419" s="34"/>
      <c r="AC419" s="34"/>
      <c r="AD419" s="34"/>
      <c r="AE419" s="34"/>
      <c r="AF419" s="34"/>
      <c r="AG419" s="34"/>
      <c r="AH419" s="34"/>
      <c r="AI419" s="34"/>
      <c r="AJ419" s="887"/>
    </row>
    <row r="420" spans="1:36" ht="45">
      <c r="A420" s="355"/>
      <c r="B420" s="143">
        <v>10</v>
      </c>
      <c r="C420" s="358" t="s">
        <v>151</v>
      </c>
      <c r="D420" s="143">
        <v>2.6</v>
      </c>
      <c r="E420" s="143">
        <f t="shared" si="59"/>
        <v>5.7200000000000006</v>
      </c>
      <c r="F420" s="143">
        <f t="shared" si="58"/>
        <v>2.6</v>
      </c>
      <c r="G420" s="143">
        <v>1370</v>
      </c>
      <c r="H420" s="143">
        <v>9.1</v>
      </c>
      <c r="I420" s="34"/>
      <c r="J420" s="34"/>
      <c r="K420" s="34"/>
      <c r="L420" s="34"/>
      <c r="M420" s="34"/>
      <c r="N420" s="885"/>
      <c r="O420" s="34" t="s">
        <v>483</v>
      </c>
      <c r="P420" s="143">
        <v>6.35</v>
      </c>
      <c r="Q420" s="143">
        <v>6.35</v>
      </c>
      <c r="R420" s="143">
        <v>6.35</v>
      </c>
      <c r="S420" s="143">
        <v>490</v>
      </c>
      <c r="T420" s="143">
        <v>2.7</v>
      </c>
      <c r="U420" s="143">
        <v>85</v>
      </c>
      <c r="V420" s="143">
        <v>48</v>
      </c>
      <c r="W420" s="34"/>
      <c r="X420" s="34"/>
      <c r="Y420" s="34"/>
      <c r="Z420" s="34"/>
      <c r="AA420" s="34"/>
      <c r="AB420" s="34"/>
      <c r="AC420" s="34"/>
      <c r="AD420" s="34"/>
      <c r="AE420" s="34"/>
      <c r="AF420" s="34"/>
      <c r="AG420" s="34"/>
      <c r="AH420" s="34"/>
      <c r="AI420" s="34"/>
      <c r="AJ420" s="887"/>
    </row>
    <row r="421" spans="1:36">
      <c r="A421" s="355"/>
      <c r="B421" s="143">
        <v>11</v>
      </c>
      <c r="C421" s="358">
        <v>11</v>
      </c>
      <c r="D421" s="143"/>
      <c r="E421" s="143"/>
      <c r="F421" s="143"/>
      <c r="G421" s="143"/>
      <c r="H421" s="143"/>
      <c r="I421" s="34"/>
      <c r="J421" s="34"/>
      <c r="K421" s="34"/>
      <c r="L421" s="34"/>
      <c r="M421" s="34"/>
      <c r="N421" s="885"/>
      <c r="O421" s="34" t="s">
        <v>484</v>
      </c>
      <c r="P421" s="143">
        <v>8.5</v>
      </c>
      <c r="Q421" s="143">
        <v>8.5</v>
      </c>
      <c r="R421" s="143">
        <v>8.5</v>
      </c>
      <c r="S421" s="143">
        <v>400</v>
      </c>
      <c r="T421" s="143">
        <v>4.01</v>
      </c>
      <c r="U421" s="143">
        <v>85</v>
      </c>
      <c r="V421" s="143">
        <v>48</v>
      </c>
      <c r="W421" s="34"/>
      <c r="X421" s="34"/>
      <c r="Y421" s="34"/>
      <c r="Z421" s="34"/>
      <c r="AA421" s="34"/>
      <c r="AB421" s="34"/>
      <c r="AC421" s="34"/>
      <c r="AD421" s="34"/>
      <c r="AE421" s="34"/>
      <c r="AF421" s="34"/>
      <c r="AG421" s="34"/>
      <c r="AH421" s="34"/>
      <c r="AI421" s="34"/>
      <c r="AJ421" s="887"/>
    </row>
    <row r="422" spans="1:36">
      <c r="A422" s="355"/>
      <c r="B422" s="143">
        <v>12</v>
      </c>
      <c r="C422" s="358">
        <v>12</v>
      </c>
      <c r="D422" s="143"/>
      <c r="E422" s="143"/>
      <c r="F422" s="143"/>
      <c r="G422" s="143"/>
      <c r="H422" s="143"/>
      <c r="I422" s="34"/>
      <c r="J422" s="34"/>
      <c r="K422" s="34"/>
      <c r="L422" s="34"/>
      <c r="M422" s="34"/>
      <c r="N422" s="892"/>
      <c r="O422" s="893"/>
      <c r="P422" s="893"/>
      <c r="Q422" s="893"/>
      <c r="R422" s="893"/>
      <c r="S422" s="893"/>
      <c r="T422" s="893"/>
      <c r="U422" s="893"/>
      <c r="V422" s="893"/>
      <c r="W422" s="893"/>
      <c r="X422" s="893"/>
      <c r="Y422" s="893"/>
      <c r="Z422" s="893"/>
      <c r="AA422" s="893"/>
      <c r="AB422" s="893"/>
      <c r="AC422" s="893"/>
      <c r="AD422" s="893"/>
      <c r="AE422" s="893"/>
      <c r="AF422" s="893"/>
      <c r="AG422" s="893"/>
      <c r="AH422" s="893"/>
      <c r="AI422" s="893"/>
      <c r="AJ422" s="894"/>
    </row>
    <row r="423" spans="1:36">
      <c r="A423" s="355"/>
      <c r="B423" s="143">
        <v>13</v>
      </c>
      <c r="C423" s="358">
        <v>13</v>
      </c>
      <c r="D423" s="143"/>
      <c r="E423" s="143"/>
      <c r="F423" s="143"/>
      <c r="G423" s="143"/>
      <c r="H423" s="143"/>
      <c r="I423" s="34"/>
      <c r="J423" s="34"/>
      <c r="K423" s="34"/>
      <c r="L423" s="34"/>
      <c r="M423" s="356"/>
    </row>
    <row r="424" spans="1:36">
      <c r="A424" s="355"/>
      <c r="B424" s="143">
        <v>14</v>
      </c>
      <c r="C424" s="358">
        <v>14</v>
      </c>
      <c r="D424" s="143"/>
      <c r="E424" s="143"/>
      <c r="F424" s="143"/>
      <c r="G424" s="143"/>
      <c r="H424" s="143"/>
      <c r="I424" s="34"/>
      <c r="J424" s="34"/>
      <c r="K424" s="34"/>
      <c r="L424" s="34"/>
      <c r="M424" s="356"/>
    </row>
    <row r="425" spans="1:36">
      <c r="A425" s="355"/>
      <c r="B425" s="143">
        <v>15</v>
      </c>
      <c r="C425" s="358">
        <v>15</v>
      </c>
      <c r="D425" s="34"/>
      <c r="E425" s="34"/>
      <c r="F425" s="34"/>
      <c r="G425" s="34"/>
      <c r="H425" s="34"/>
      <c r="I425" s="34"/>
      <c r="J425" s="34"/>
      <c r="K425" s="34"/>
      <c r="L425" s="34"/>
      <c r="M425" s="356"/>
    </row>
    <row r="426" spans="1:36">
      <c r="A426" s="355"/>
      <c r="B426" s="143">
        <v>16</v>
      </c>
      <c r="C426" s="358">
        <v>16</v>
      </c>
      <c r="D426" s="236"/>
      <c r="E426" s="236"/>
      <c r="F426" s="236"/>
      <c r="G426" s="236"/>
      <c r="H426" s="236"/>
      <c r="I426" s="34"/>
      <c r="J426" s="34"/>
      <c r="K426" s="34"/>
      <c r="L426" s="34"/>
      <c r="M426" s="356"/>
    </row>
    <row r="427" spans="1:36">
      <c r="A427" s="355"/>
      <c r="B427" s="143">
        <v>17</v>
      </c>
      <c r="C427" s="358">
        <v>17</v>
      </c>
      <c r="D427" s="236"/>
      <c r="E427" s="236"/>
      <c r="F427" s="236"/>
      <c r="G427" s="236"/>
      <c r="H427" s="236"/>
      <c r="I427" s="34"/>
      <c r="J427" s="34"/>
      <c r="K427" s="34"/>
      <c r="L427" s="34"/>
      <c r="M427" s="356"/>
    </row>
    <row r="428" spans="1:36">
      <c r="A428" s="355"/>
      <c r="B428" s="143">
        <v>18</v>
      </c>
      <c r="C428" s="358">
        <v>18</v>
      </c>
      <c r="D428" s="236"/>
      <c r="E428" s="236"/>
      <c r="F428" s="236"/>
      <c r="G428" s="236"/>
      <c r="H428" s="236"/>
      <c r="I428" s="34"/>
      <c r="J428" s="34"/>
      <c r="K428" s="34"/>
      <c r="L428" s="34"/>
      <c r="M428" s="356"/>
    </row>
    <row r="429" spans="1:36">
      <c r="A429" s="355"/>
      <c r="B429" s="143">
        <v>19</v>
      </c>
      <c r="C429" s="358">
        <v>19</v>
      </c>
      <c r="D429" s="236"/>
      <c r="E429" s="236"/>
      <c r="F429" s="236"/>
      <c r="G429" s="236"/>
      <c r="H429" s="236"/>
      <c r="I429" s="34"/>
      <c r="J429" s="34"/>
      <c r="K429" s="34"/>
      <c r="L429" s="34"/>
      <c r="M429" s="356"/>
    </row>
    <row r="430" spans="1:36">
      <c r="A430" s="355"/>
      <c r="B430" s="143">
        <v>20</v>
      </c>
      <c r="C430" s="358">
        <v>20</v>
      </c>
      <c r="D430" s="236"/>
      <c r="E430" s="236"/>
      <c r="F430" s="236"/>
      <c r="G430" s="236"/>
      <c r="H430" s="236"/>
      <c r="I430" s="34"/>
      <c r="J430" s="34"/>
      <c r="K430" s="34"/>
      <c r="L430" s="34"/>
      <c r="M430" s="356"/>
    </row>
    <row r="431" spans="1:36">
      <c r="A431" s="355"/>
      <c r="B431" s="143">
        <v>21</v>
      </c>
      <c r="C431" s="358">
        <v>21</v>
      </c>
      <c r="D431" s="236"/>
      <c r="E431" s="236"/>
      <c r="F431" s="236"/>
      <c r="G431" s="236"/>
      <c r="H431" s="236"/>
      <c r="I431" s="34"/>
      <c r="J431" s="34"/>
      <c r="K431" s="34"/>
      <c r="L431" s="34"/>
      <c r="M431" s="356"/>
    </row>
    <row r="432" spans="1:36">
      <c r="A432" s="355"/>
      <c r="B432" s="143">
        <v>22</v>
      </c>
      <c r="C432" s="358">
        <v>22</v>
      </c>
      <c r="D432" s="236"/>
      <c r="E432" s="236"/>
      <c r="F432" s="236"/>
      <c r="G432" s="236"/>
      <c r="H432" s="236"/>
      <c r="I432" s="34"/>
      <c r="J432" s="34"/>
      <c r="K432" s="34"/>
      <c r="L432" s="34"/>
      <c r="M432" s="356"/>
    </row>
    <row r="433" spans="1:13">
      <c r="A433" s="355"/>
      <c r="B433" s="143">
        <v>23</v>
      </c>
      <c r="C433" s="358">
        <v>23</v>
      </c>
      <c r="D433" s="236"/>
      <c r="E433" s="236"/>
      <c r="F433" s="236"/>
      <c r="G433" s="236"/>
      <c r="H433" s="236"/>
      <c r="I433" s="34"/>
      <c r="J433" s="34"/>
      <c r="K433" s="34"/>
      <c r="L433" s="34"/>
      <c r="M433" s="356"/>
    </row>
    <row r="434" spans="1:13">
      <c r="A434" s="355"/>
      <c r="B434" s="143">
        <v>24</v>
      </c>
      <c r="C434" s="358">
        <v>24</v>
      </c>
      <c r="D434" s="236"/>
      <c r="E434" s="236"/>
      <c r="F434" s="236"/>
      <c r="G434" s="236"/>
      <c r="H434" s="236"/>
      <c r="I434" s="34"/>
      <c r="J434" s="34"/>
      <c r="K434" s="34"/>
      <c r="L434" s="34"/>
      <c r="M434" s="356"/>
    </row>
    <row r="435" spans="1:13" ht="15.75" thickBot="1">
      <c r="A435" s="359"/>
      <c r="B435" s="360"/>
      <c r="C435" s="360"/>
      <c r="D435" s="360"/>
      <c r="E435" s="360"/>
      <c r="F435" s="360"/>
      <c r="G435" s="360"/>
      <c r="H435" s="360"/>
      <c r="I435" s="360"/>
      <c r="J435" s="360"/>
      <c r="K435" s="360"/>
      <c r="L435" s="360"/>
      <c r="M435" s="361"/>
    </row>
  </sheetData>
  <sheetProtection algorithmName="SHA-512" hashValue="SdQpHvBVR88MudqwzDZyVF1odnx+TB3q9vTiiZKXrSEAlvJi0NLXqxBD51kjk8bysUMNpO7pEoEm+4FvCd0ECA==" saltValue="KY+/WaYth2pKZ9byB21TSA==" spinCount="100000" sheet="1" objects="1" scenarios="1"/>
  <dataConsolidate/>
  <mergeCells count="29">
    <mergeCell ref="AK3:AL3"/>
    <mergeCell ref="AK17:AN17"/>
    <mergeCell ref="AQ19:AT19"/>
    <mergeCell ref="AS132:AS133"/>
    <mergeCell ref="AN138:AO138"/>
    <mergeCell ref="C3:L3"/>
    <mergeCell ref="X81:Z81"/>
    <mergeCell ref="C113:E113"/>
    <mergeCell ref="C65:J65"/>
    <mergeCell ref="L206:P206"/>
    <mergeCell ref="X74:Y74"/>
    <mergeCell ref="B146:C146"/>
    <mergeCell ref="Y147:Z147"/>
    <mergeCell ref="I17:J17"/>
    <mergeCell ref="I18:J18"/>
    <mergeCell ref="A23:B23"/>
    <mergeCell ref="W147:X147"/>
    <mergeCell ref="U147:V147"/>
    <mergeCell ref="P23:Q23"/>
    <mergeCell ref="C123:K123"/>
    <mergeCell ref="Q114:T114"/>
    <mergeCell ref="B57:C57"/>
    <mergeCell ref="B138:F138"/>
    <mergeCell ref="I139:N139"/>
    <mergeCell ref="AQ144:AR144"/>
    <mergeCell ref="AS144:AT144"/>
    <mergeCell ref="AS134:AS135"/>
    <mergeCell ref="AS136:AS137"/>
    <mergeCell ref="AQ143:AT143"/>
  </mergeCells>
  <conditionalFormatting sqref="U201">
    <cfRule type="expression" dxfId="16" priority="331">
      <formula>$C$115=1</formula>
    </cfRule>
  </conditionalFormatting>
  <conditionalFormatting sqref="U201">
    <cfRule type="expression" dxfId="15" priority="332">
      <formula>$D$114=FALSE</formula>
    </cfRule>
  </conditionalFormatting>
  <conditionalFormatting sqref="E52:E53">
    <cfRule type="expression" dxfId="14" priority="333">
      <formula>$D$114=TRUE</formula>
    </cfRule>
  </conditionalFormatting>
  <conditionalFormatting sqref="C52">
    <cfRule type="expression" dxfId="13" priority="354" stopIfTrue="1">
      <formula>$I$168=1</formula>
    </cfRule>
  </conditionalFormatting>
  <dataValidations disablePrompts="1" count="1">
    <dataValidation type="list" allowBlank="1" showInputMessage="1" showErrorMessage="1" sqref="M162">
      <formula1>$K$162:$K$163</formula1>
    </dataValidation>
  </dataValidations>
  <pageMargins left="0.7" right="0.7" top="0.75" bottom="0.75" header="0.3" footer="0.3"/>
  <pageSetup paperSize="9" orientation="portrait" r:id="rId1"/>
  <customProperties>
    <customPr name="workbookAdvencedSettings" r:id="rId2"/>
    <customPr name="workbookExecutionSettings" r:id="rId3"/>
    <customPr name="workbookGatewaySettings" r:id="rId4"/>
  </customPropertie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CM1280"/>
  <sheetViews>
    <sheetView workbookViewId="0">
      <pane xSplit="21" ySplit="8" topLeftCell="V33" activePane="bottomRight" state="frozen"/>
      <selection activeCell="Z1247" sqref="Z1247"/>
      <selection pane="topRight" activeCell="Z1247" sqref="Z1247"/>
      <selection pane="bottomLeft" activeCell="Z1247" sqref="Z1247"/>
      <selection pane="bottomRight" activeCell="AC45" sqref="AC45"/>
    </sheetView>
  </sheetViews>
  <sheetFormatPr defaultRowHeight="12.75"/>
  <cols>
    <col min="1" max="1" width="23.42578125" style="374" customWidth="1"/>
    <col min="2" max="2" width="6" style="620" customWidth="1"/>
    <col min="3" max="5" width="5.28515625" style="620" customWidth="1"/>
    <col min="6" max="6" width="7.85546875" style="621" customWidth="1"/>
    <col min="7" max="7" width="8" style="622" customWidth="1"/>
    <col min="8" max="8" width="6.7109375" style="623" customWidth="1"/>
    <col min="9" max="9" width="7" style="624" customWidth="1"/>
    <col min="10" max="10" width="7.7109375" style="621" customWidth="1"/>
    <col min="11" max="11" width="7.140625" style="622" customWidth="1"/>
    <col min="12" max="12" width="7.7109375" style="623" customWidth="1"/>
    <col min="13" max="13" width="6.85546875" style="624" customWidth="1"/>
    <col min="14" max="14" width="8" style="621" customWidth="1"/>
    <col min="15" max="15" width="7.28515625" style="622" customWidth="1"/>
    <col min="16" max="16" width="6.42578125" style="620" customWidth="1"/>
    <col min="17" max="17" width="6" style="620" customWidth="1"/>
    <col min="18" max="19" width="5.28515625" style="620" customWidth="1"/>
    <col min="20" max="20" width="7.7109375" style="625" customWidth="1"/>
    <col min="21" max="21" width="5.28515625" style="620" customWidth="1"/>
    <col min="22" max="22" width="11.42578125" style="374" customWidth="1"/>
    <col min="23" max="23" width="8.42578125" style="620" customWidth="1"/>
    <col min="24" max="42" width="11.42578125" style="374" customWidth="1"/>
    <col min="43" max="43" width="8.85546875" style="374" customWidth="1"/>
    <col min="44" max="256" width="9.140625" style="374"/>
    <col min="257" max="257" width="23.42578125" style="374" customWidth="1"/>
    <col min="258" max="258" width="6" style="374" customWidth="1"/>
    <col min="259" max="261" width="5.28515625" style="374" customWidth="1"/>
    <col min="262" max="262" width="7.85546875" style="374" customWidth="1"/>
    <col min="263" max="263" width="8" style="374" customWidth="1"/>
    <col min="264" max="264" width="6.7109375" style="374" customWidth="1"/>
    <col min="265" max="265" width="7" style="374" customWidth="1"/>
    <col min="266" max="266" width="7.7109375" style="374" customWidth="1"/>
    <col min="267" max="267" width="7.140625" style="374" customWidth="1"/>
    <col min="268" max="268" width="7.7109375" style="374" customWidth="1"/>
    <col min="269" max="269" width="6.85546875" style="374" customWidth="1"/>
    <col min="270" max="270" width="8" style="374" customWidth="1"/>
    <col min="271" max="271" width="7.28515625" style="374" customWidth="1"/>
    <col min="272" max="272" width="6.42578125" style="374" customWidth="1"/>
    <col min="273" max="273" width="6" style="374" customWidth="1"/>
    <col min="274" max="275" width="5.28515625" style="374" customWidth="1"/>
    <col min="276" max="276" width="7.7109375" style="374" customWidth="1"/>
    <col min="277" max="277" width="5.28515625" style="374" customWidth="1"/>
    <col min="278" max="278" width="11.42578125" style="374" customWidth="1"/>
    <col min="279" max="279" width="8.42578125" style="374" customWidth="1"/>
    <col min="280" max="298" width="11.42578125" style="374" customWidth="1"/>
    <col min="299" max="299" width="8.85546875" style="374" customWidth="1"/>
    <col min="300" max="512" width="9.140625" style="374"/>
    <col min="513" max="513" width="23.42578125" style="374" customWidth="1"/>
    <col min="514" max="514" width="6" style="374" customWidth="1"/>
    <col min="515" max="517" width="5.28515625" style="374" customWidth="1"/>
    <col min="518" max="518" width="7.85546875" style="374" customWidth="1"/>
    <col min="519" max="519" width="8" style="374" customWidth="1"/>
    <col min="520" max="520" width="6.7109375" style="374" customWidth="1"/>
    <col min="521" max="521" width="7" style="374" customWidth="1"/>
    <col min="522" max="522" width="7.7109375" style="374" customWidth="1"/>
    <col min="523" max="523" width="7.140625" style="374" customWidth="1"/>
    <col min="524" max="524" width="7.7109375" style="374" customWidth="1"/>
    <col min="525" max="525" width="6.85546875" style="374" customWidth="1"/>
    <col min="526" max="526" width="8" style="374" customWidth="1"/>
    <col min="527" max="527" width="7.28515625" style="374" customWidth="1"/>
    <col min="528" max="528" width="6.42578125" style="374" customWidth="1"/>
    <col min="529" max="529" width="6" style="374" customWidth="1"/>
    <col min="530" max="531" width="5.28515625" style="374" customWidth="1"/>
    <col min="532" max="532" width="7.7109375" style="374" customWidth="1"/>
    <col min="533" max="533" width="5.28515625" style="374" customWidth="1"/>
    <col min="534" max="534" width="11.42578125" style="374" customWidth="1"/>
    <col min="535" max="535" width="8.42578125" style="374" customWidth="1"/>
    <col min="536" max="554" width="11.42578125" style="374" customWidth="1"/>
    <col min="555" max="555" width="8.85546875" style="374" customWidth="1"/>
    <col min="556" max="768" width="9.140625" style="374"/>
    <col min="769" max="769" width="23.42578125" style="374" customWidth="1"/>
    <col min="770" max="770" width="6" style="374" customWidth="1"/>
    <col min="771" max="773" width="5.28515625" style="374" customWidth="1"/>
    <col min="774" max="774" width="7.85546875" style="374" customWidth="1"/>
    <col min="775" max="775" width="8" style="374" customWidth="1"/>
    <col min="776" max="776" width="6.7109375" style="374" customWidth="1"/>
    <col min="777" max="777" width="7" style="374" customWidth="1"/>
    <col min="778" max="778" width="7.7109375" style="374" customWidth="1"/>
    <col min="779" max="779" width="7.140625" style="374" customWidth="1"/>
    <col min="780" max="780" width="7.7109375" style="374" customWidth="1"/>
    <col min="781" max="781" width="6.85546875" style="374" customWidth="1"/>
    <col min="782" max="782" width="8" style="374" customWidth="1"/>
    <col min="783" max="783" width="7.28515625" style="374" customWidth="1"/>
    <col min="784" max="784" width="6.42578125" style="374" customWidth="1"/>
    <col min="785" max="785" width="6" style="374" customWidth="1"/>
    <col min="786" max="787" width="5.28515625" style="374" customWidth="1"/>
    <col min="788" max="788" width="7.7109375" style="374" customWidth="1"/>
    <col min="789" max="789" width="5.28515625" style="374" customWidth="1"/>
    <col min="790" max="790" width="11.42578125" style="374" customWidth="1"/>
    <col min="791" max="791" width="8.42578125" style="374" customWidth="1"/>
    <col min="792" max="810" width="11.42578125" style="374" customWidth="1"/>
    <col min="811" max="811" width="8.85546875" style="374" customWidth="1"/>
    <col min="812" max="1024" width="9.140625" style="374"/>
    <col min="1025" max="1025" width="23.42578125" style="374" customWidth="1"/>
    <col min="1026" max="1026" width="6" style="374" customWidth="1"/>
    <col min="1027" max="1029" width="5.28515625" style="374" customWidth="1"/>
    <col min="1030" max="1030" width="7.85546875" style="374" customWidth="1"/>
    <col min="1031" max="1031" width="8" style="374" customWidth="1"/>
    <col min="1032" max="1032" width="6.7109375" style="374" customWidth="1"/>
    <col min="1033" max="1033" width="7" style="374" customWidth="1"/>
    <col min="1034" max="1034" width="7.7109375" style="374" customWidth="1"/>
    <col min="1035" max="1035" width="7.140625" style="374" customWidth="1"/>
    <col min="1036" max="1036" width="7.7109375" style="374" customWidth="1"/>
    <col min="1037" max="1037" width="6.85546875" style="374" customWidth="1"/>
    <col min="1038" max="1038" width="8" style="374" customWidth="1"/>
    <col min="1039" max="1039" width="7.28515625" style="374" customWidth="1"/>
    <col min="1040" max="1040" width="6.42578125" style="374" customWidth="1"/>
    <col min="1041" max="1041" width="6" style="374" customWidth="1"/>
    <col min="1042" max="1043" width="5.28515625" style="374" customWidth="1"/>
    <col min="1044" max="1044" width="7.7109375" style="374" customWidth="1"/>
    <col min="1045" max="1045" width="5.28515625" style="374" customWidth="1"/>
    <col min="1046" max="1046" width="11.42578125" style="374" customWidth="1"/>
    <col min="1047" max="1047" width="8.42578125" style="374" customWidth="1"/>
    <col min="1048" max="1066" width="11.42578125" style="374" customWidth="1"/>
    <col min="1067" max="1067" width="8.85546875" style="374" customWidth="1"/>
    <col min="1068" max="1280" width="9.140625" style="374"/>
    <col min="1281" max="1281" width="23.42578125" style="374" customWidth="1"/>
    <col min="1282" max="1282" width="6" style="374" customWidth="1"/>
    <col min="1283" max="1285" width="5.28515625" style="374" customWidth="1"/>
    <col min="1286" max="1286" width="7.85546875" style="374" customWidth="1"/>
    <col min="1287" max="1287" width="8" style="374" customWidth="1"/>
    <col min="1288" max="1288" width="6.7109375" style="374" customWidth="1"/>
    <col min="1289" max="1289" width="7" style="374" customWidth="1"/>
    <col min="1290" max="1290" width="7.7109375" style="374" customWidth="1"/>
    <col min="1291" max="1291" width="7.140625" style="374" customWidth="1"/>
    <col min="1292" max="1292" width="7.7109375" style="374" customWidth="1"/>
    <col min="1293" max="1293" width="6.85546875" style="374" customWidth="1"/>
    <col min="1294" max="1294" width="8" style="374" customWidth="1"/>
    <col min="1295" max="1295" width="7.28515625" style="374" customWidth="1"/>
    <col min="1296" max="1296" width="6.42578125" style="374" customWidth="1"/>
    <col min="1297" max="1297" width="6" style="374" customWidth="1"/>
    <col min="1298" max="1299" width="5.28515625" style="374" customWidth="1"/>
    <col min="1300" max="1300" width="7.7109375" style="374" customWidth="1"/>
    <col min="1301" max="1301" width="5.28515625" style="374" customWidth="1"/>
    <col min="1302" max="1302" width="11.42578125" style="374" customWidth="1"/>
    <col min="1303" max="1303" width="8.42578125" style="374" customWidth="1"/>
    <col min="1304" max="1322" width="11.42578125" style="374" customWidth="1"/>
    <col min="1323" max="1323" width="8.85546875" style="374" customWidth="1"/>
    <col min="1324" max="1536" width="9.140625" style="374"/>
    <col min="1537" max="1537" width="23.42578125" style="374" customWidth="1"/>
    <col min="1538" max="1538" width="6" style="374" customWidth="1"/>
    <col min="1539" max="1541" width="5.28515625" style="374" customWidth="1"/>
    <col min="1542" max="1542" width="7.85546875" style="374" customWidth="1"/>
    <col min="1543" max="1543" width="8" style="374" customWidth="1"/>
    <col min="1544" max="1544" width="6.7109375" style="374" customWidth="1"/>
    <col min="1545" max="1545" width="7" style="374" customWidth="1"/>
    <col min="1546" max="1546" width="7.7109375" style="374" customWidth="1"/>
    <col min="1547" max="1547" width="7.140625" style="374" customWidth="1"/>
    <col min="1548" max="1548" width="7.7109375" style="374" customWidth="1"/>
    <col min="1549" max="1549" width="6.85546875" style="374" customWidth="1"/>
    <col min="1550" max="1550" width="8" style="374" customWidth="1"/>
    <col min="1551" max="1551" width="7.28515625" style="374" customWidth="1"/>
    <col min="1552" max="1552" width="6.42578125" style="374" customWidth="1"/>
    <col min="1553" max="1553" width="6" style="374" customWidth="1"/>
    <col min="1554" max="1555" width="5.28515625" style="374" customWidth="1"/>
    <col min="1556" max="1556" width="7.7109375" style="374" customWidth="1"/>
    <col min="1557" max="1557" width="5.28515625" style="374" customWidth="1"/>
    <col min="1558" max="1558" width="11.42578125" style="374" customWidth="1"/>
    <col min="1559" max="1559" width="8.42578125" style="374" customWidth="1"/>
    <col min="1560" max="1578" width="11.42578125" style="374" customWidth="1"/>
    <col min="1579" max="1579" width="8.85546875" style="374" customWidth="1"/>
    <col min="1580" max="1792" width="9.140625" style="374"/>
    <col min="1793" max="1793" width="23.42578125" style="374" customWidth="1"/>
    <col min="1794" max="1794" width="6" style="374" customWidth="1"/>
    <col min="1795" max="1797" width="5.28515625" style="374" customWidth="1"/>
    <col min="1798" max="1798" width="7.85546875" style="374" customWidth="1"/>
    <col min="1799" max="1799" width="8" style="374" customWidth="1"/>
    <col min="1800" max="1800" width="6.7109375" style="374" customWidth="1"/>
    <col min="1801" max="1801" width="7" style="374" customWidth="1"/>
    <col min="1802" max="1802" width="7.7109375" style="374" customWidth="1"/>
    <col min="1803" max="1803" width="7.140625" style="374" customWidth="1"/>
    <col min="1804" max="1804" width="7.7109375" style="374" customWidth="1"/>
    <col min="1805" max="1805" width="6.85546875" style="374" customWidth="1"/>
    <col min="1806" max="1806" width="8" style="374" customWidth="1"/>
    <col min="1807" max="1807" width="7.28515625" style="374" customWidth="1"/>
    <col min="1808" max="1808" width="6.42578125" style="374" customWidth="1"/>
    <col min="1809" max="1809" width="6" style="374" customWidth="1"/>
    <col min="1810" max="1811" width="5.28515625" style="374" customWidth="1"/>
    <col min="1812" max="1812" width="7.7109375" style="374" customWidth="1"/>
    <col min="1813" max="1813" width="5.28515625" style="374" customWidth="1"/>
    <col min="1814" max="1814" width="11.42578125" style="374" customWidth="1"/>
    <col min="1815" max="1815" width="8.42578125" style="374" customWidth="1"/>
    <col min="1816" max="1834" width="11.42578125" style="374" customWidth="1"/>
    <col min="1835" max="1835" width="8.85546875" style="374" customWidth="1"/>
    <col min="1836" max="2048" width="9.140625" style="374"/>
    <col min="2049" max="2049" width="23.42578125" style="374" customWidth="1"/>
    <col min="2050" max="2050" width="6" style="374" customWidth="1"/>
    <col min="2051" max="2053" width="5.28515625" style="374" customWidth="1"/>
    <col min="2054" max="2054" width="7.85546875" style="374" customWidth="1"/>
    <col min="2055" max="2055" width="8" style="374" customWidth="1"/>
    <col min="2056" max="2056" width="6.7109375" style="374" customWidth="1"/>
    <col min="2057" max="2057" width="7" style="374" customWidth="1"/>
    <col min="2058" max="2058" width="7.7109375" style="374" customWidth="1"/>
    <col min="2059" max="2059" width="7.140625" style="374" customWidth="1"/>
    <col min="2060" max="2060" width="7.7109375" style="374" customWidth="1"/>
    <col min="2061" max="2061" width="6.85546875" style="374" customWidth="1"/>
    <col min="2062" max="2062" width="8" style="374" customWidth="1"/>
    <col min="2063" max="2063" width="7.28515625" style="374" customWidth="1"/>
    <col min="2064" max="2064" width="6.42578125" style="374" customWidth="1"/>
    <col min="2065" max="2065" width="6" style="374" customWidth="1"/>
    <col min="2066" max="2067" width="5.28515625" style="374" customWidth="1"/>
    <col min="2068" max="2068" width="7.7109375" style="374" customWidth="1"/>
    <col min="2069" max="2069" width="5.28515625" style="374" customWidth="1"/>
    <col min="2070" max="2070" width="11.42578125" style="374" customWidth="1"/>
    <col min="2071" max="2071" width="8.42578125" style="374" customWidth="1"/>
    <col min="2072" max="2090" width="11.42578125" style="374" customWidth="1"/>
    <col min="2091" max="2091" width="8.85546875" style="374" customWidth="1"/>
    <col min="2092" max="2304" width="9.140625" style="374"/>
    <col min="2305" max="2305" width="23.42578125" style="374" customWidth="1"/>
    <col min="2306" max="2306" width="6" style="374" customWidth="1"/>
    <col min="2307" max="2309" width="5.28515625" style="374" customWidth="1"/>
    <col min="2310" max="2310" width="7.85546875" style="374" customWidth="1"/>
    <col min="2311" max="2311" width="8" style="374" customWidth="1"/>
    <col min="2312" max="2312" width="6.7109375" style="374" customWidth="1"/>
    <col min="2313" max="2313" width="7" style="374" customWidth="1"/>
    <col min="2314" max="2314" width="7.7109375" style="374" customWidth="1"/>
    <col min="2315" max="2315" width="7.140625" style="374" customWidth="1"/>
    <col min="2316" max="2316" width="7.7109375" style="374" customWidth="1"/>
    <col min="2317" max="2317" width="6.85546875" style="374" customWidth="1"/>
    <col min="2318" max="2318" width="8" style="374" customWidth="1"/>
    <col min="2319" max="2319" width="7.28515625" style="374" customWidth="1"/>
    <col min="2320" max="2320" width="6.42578125" style="374" customWidth="1"/>
    <col min="2321" max="2321" width="6" style="374" customWidth="1"/>
    <col min="2322" max="2323" width="5.28515625" style="374" customWidth="1"/>
    <col min="2324" max="2324" width="7.7109375" style="374" customWidth="1"/>
    <col min="2325" max="2325" width="5.28515625" style="374" customWidth="1"/>
    <col min="2326" max="2326" width="11.42578125" style="374" customWidth="1"/>
    <col min="2327" max="2327" width="8.42578125" style="374" customWidth="1"/>
    <col min="2328" max="2346" width="11.42578125" style="374" customWidth="1"/>
    <col min="2347" max="2347" width="8.85546875" style="374" customWidth="1"/>
    <col min="2348" max="2560" width="9.140625" style="374"/>
    <col min="2561" max="2561" width="23.42578125" style="374" customWidth="1"/>
    <col min="2562" max="2562" width="6" style="374" customWidth="1"/>
    <col min="2563" max="2565" width="5.28515625" style="374" customWidth="1"/>
    <col min="2566" max="2566" width="7.85546875" style="374" customWidth="1"/>
    <col min="2567" max="2567" width="8" style="374" customWidth="1"/>
    <col min="2568" max="2568" width="6.7109375" style="374" customWidth="1"/>
    <col min="2569" max="2569" width="7" style="374" customWidth="1"/>
    <col min="2570" max="2570" width="7.7109375" style="374" customWidth="1"/>
    <col min="2571" max="2571" width="7.140625" style="374" customWidth="1"/>
    <col min="2572" max="2572" width="7.7109375" style="374" customWidth="1"/>
    <col min="2573" max="2573" width="6.85546875" style="374" customWidth="1"/>
    <col min="2574" max="2574" width="8" style="374" customWidth="1"/>
    <col min="2575" max="2575" width="7.28515625" style="374" customWidth="1"/>
    <col min="2576" max="2576" width="6.42578125" style="374" customWidth="1"/>
    <col min="2577" max="2577" width="6" style="374" customWidth="1"/>
    <col min="2578" max="2579" width="5.28515625" style="374" customWidth="1"/>
    <col min="2580" max="2580" width="7.7109375" style="374" customWidth="1"/>
    <col min="2581" max="2581" width="5.28515625" style="374" customWidth="1"/>
    <col min="2582" max="2582" width="11.42578125" style="374" customWidth="1"/>
    <col min="2583" max="2583" width="8.42578125" style="374" customWidth="1"/>
    <col min="2584" max="2602" width="11.42578125" style="374" customWidth="1"/>
    <col min="2603" max="2603" width="8.85546875" style="374" customWidth="1"/>
    <col min="2604" max="2816" width="9.140625" style="374"/>
    <col min="2817" max="2817" width="23.42578125" style="374" customWidth="1"/>
    <col min="2818" max="2818" width="6" style="374" customWidth="1"/>
    <col min="2819" max="2821" width="5.28515625" style="374" customWidth="1"/>
    <col min="2822" max="2822" width="7.85546875" style="374" customWidth="1"/>
    <col min="2823" max="2823" width="8" style="374" customWidth="1"/>
    <col min="2824" max="2824" width="6.7109375" style="374" customWidth="1"/>
    <col min="2825" max="2825" width="7" style="374" customWidth="1"/>
    <col min="2826" max="2826" width="7.7109375" style="374" customWidth="1"/>
    <col min="2827" max="2827" width="7.140625" style="374" customWidth="1"/>
    <col min="2828" max="2828" width="7.7109375" style="374" customWidth="1"/>
    <col min="2829" max="2829" width="6.85546875" style="374" customWidth="1"/>
    <col min="2830" max="2830" width="8" style="374" customWidth="1"/>
    <col min="2831" max="2831" width="7.28515625" style="374" customWidth="1"/>
    <col min="2832" max="2832" width="6.42578125" style="374" customWidth="1"/>
    <col min="2833" max="2833" width="6" style="374" customWidth="1"/>
    <col min="2834" max="2835" width="5.28515625" style="374" customWidth="1"/>
    <col min="2836" max="2836" width="7.7109375" style="374" customWidth="1"/>
    <col min="2837" max="2837" width="5.28515625" style="374" customWidth="1"/>
    <col min="2838" max="2838" width="11.42578125" style="374" customWidth="1"/>
    <col min="2839" max="2839" width="8.42578125" style="374" customWidth="1"/>
    <col min="2840" max="2858" width="11.42578125" style="374" customWidth="1"/>
    <col min="2859" max="2859" width="8.85546875" style="374" customWidth="1"/>
    <col min="2860" max="3072" width="9.140625" style="374"/>
    <col min="3073" max="3073" width="23.42578125" style="374" customWidth="1"/>
    <col min="3074" max="3074" width="6" style="374" customWidth="1"/>
    <col min="3075" max="3077" width="5.28515625" style="374" customWidth="1"/>
    <col min="3078" max="3078" width="7.85546875" style="374" customWidth="1"/>
    <col min="3079" max="3079" width="8" style="374" customWidth="1"/>
    <col min="3080" max="3080" width="6.7109375" style="374" customWidth="1"/>
    <col min="3081" max="3081" width="7" style="374" customWidth="1"/>
    <col min="3082" max="3082" width="7.7109375" style="374" customWidth="1"/>
    <col min="3083" max="3083" width="7.140625" style="374" customWidth="1"/>
    <col min="3084" max="3084" width="7.7109375" style="374" customWidth="1"/>
    <col min="3085" max="3085" width="6.85546875" style="374" customWidth="1"/>
    <col min="3086" max="3086" width="8" style="374" customWidth="1"/>
    <col min="3087" max="3087" width="7.28515625" style="374" customWidth="1"/>
    <col min="3088" max="3088" width="6.42578125" style="374" customWidth="1"/>
    <col min="3089" max="3089" width="6" style="374" customWidth="1"/>
    <col min="3090" max="3091" width="5.28515625" style="374" customWidth="1"/>
    <col min="3092" max="3092" width="7.7109375" style="374" customWidth="1"/>
    <col min="3093" max="3093" width="5.28515625" style="374" customWidth="1"/>
    <col min="3094" max="3094" width="11.42578125" style="374" customWidth="1"/>
    <col min="3095" max="3095" width="8.42578125" style="374" customWidth="1"/>
    <col min="3096" max="3114" width="11.42578125" style="374" customWidth="1"/>
    <col min="3115" max="3115" width="8.85546875" style="374" customWidth="1"/>
    <col min="3116" max="3328" width="9.140625" style="374"/>
    <col min="3329" max="3329" width="23.42578125" style="374" customWidth="1"/>
    <col min="3330" max="3330" width="6" style="374" customWidth="1"/>
    <col min="3331" max="3333" width="5.28515625" style="374" customWidth="1"/>
    <col min="3334" max="3334" width="7.85546875" style="374" customWidth="1"/>
    <col min="3335" max="3335" width="8" style="374" customWidth="1"/>
    <col min="3336" max="3336" width="6.7109375" style="374" customWidth="1"/>
    <col min="3337" max="3337" width="7" style="374" customWidth="1"/>
    <col min="3338" max="3338" width="7.7109375" style="374" customWidth="1"/>
    <col min="3339" max="3339" width="7.140625" style="374" customWidth="1"/>
    <col min="3340" max="3340" width="7.7109375" style="374" customWidth="1"/>
    <col min="3341" max="3341" width="6.85546875" style="374" customWidth="1"/>
    <col min="3342" max="3342" width="8" style="374" customWidth="1"/>
    <col min="3343" max="3343" width="7.28515625" style="374" customWidth="1"/>
    <col min="3344" max="3344" width="6.42578125" style="374" customWidth="1"/>
    <col min="3345" max="3345" width="6" style="374" customWidth="1"/>
    <col min="3346" max="3347" width="5.28515625" style="374" customWidth="1"/>
    <col min="3348" max="3348" width="7.7109375" style="374" customWidth="1"/>
    <col min="3349" max="3349" width="5.28515625" style="374" customWidth="1"/>
    <col min="3350" max="3350" width="11.42578125" style="374" customWidth="1"/>
    <col min="3351" max="3351" width="8.42578125" style="374" customWidth="1"/>
    <col min="3352" max="3370" width="11.42578125" style="374" customWidth="1"/>
    <col min="3371" max="3371" width="8.85546875" style="374" customWidth="1"/>
    <col min="3372" max="3584" width="9.140625" style="374"/>
    <col min="3585" max="3585" width="23.42578125" style="374" customWidth="1"/>
    <col min="3586" max="3586" width="6" style="374" customWidth="1"/>
    <col min="3587" max="3589" width="5.28515625" style="374" customWidth="1"/>
    <col min="3590" max="3590" width="7.85546875" style="374" customWidth="1"/>
    <col min="3591" max="3591" width="8" style="374" customWidth="1"/>
    <col min="3592" max="3592" width="6.7109375" style="374" customWidth="1"/>
    <col min="3593" max="3593" width="7" style="374" customWidth="1"/>
    <col min="3594" max="3594" width="7.7109375" style="374" customWidth="1"/>
    <col min="3595" max="3595" width="7.140625" style="374" customWidth="1"/>
    <col min="3596" max="3596" width="7.7109375" style="374" customWidth="1"/>
    <col min="3597" max="3597" width="6.85546875" style="374" customWidth="1"/>
    <col min="3598" max="3598" width="8" style="374" customWidth="1"/>
    <col min="3599" max="3599" width="7.28515625" style="374" customWidth="1"/>
    <col min="3600" max="3600" width="6.42578125" style="374" customWidth="1"/>
    <col min="3601" max="3601" width="6" style="374" customWidth="1"/>
    <col min="3602" max="3603" width="5.28515625" style="374" customWidth="1"/>
    <col min="3604" max="3604" width="7.7109375" style="374" customWidth="1"/>
    <col min="3605" max="3605" width="5.28515625" style="374" customWidth="1"/>
    <col min="3606" max="3606" width="11.42578125" style="374" customWidth="1"/>
    <col min="3607" max="3607" width="8.42578125" style="374" customWidth="1"/>
    <col min="3608" max="3626" width="11.42578125" style="374" customWidth="1"/>
    <col min="3627" max="3627" width="8.85546875" style="374" customWidth="1"/>
    <col min="3628" max="3840" width="9.140625" style="374"/>
    <col min="3841" max="3841" width="23.42578125" style="374" customWidth="1"/>
    <col min="3842" max="3842" width="6" style="374" customWidth="1"/>
    <col min="3843" max="3845" width="5.28515625" style="374" customWidth="1"/>
    <col min="3846" max="3846" width="7.85546875" style="374" customWidth="1"/>
    <col min="3847" max="3847" width="8" style="374" customWidth="1"/>
    <col min="3848" max="3848" width="6.7109375" style="374" customWidth="1"/>
    <col min="3849" max="3849" width="7" style="374" customWidth="1"/>
    <col min="3850" max="3850" width="7.7109375" style="374" customWidth="1"/>
    <col min="3851" max="3851" width="7.140625" style="374" customWidth="1"/>
    <col min="3852" max="3852" width="7.7109375" style="374" customWidth="1"/>
    <col min="3853" max="3853" width="6.85546875" style="374" customWidth="1"/>
    <col min="3854" max="3854" width="8" style="374" customWidth="1"/>
    <col min="3855" max="3855" width="7.28515625" style="374" customWidth="1"/>
    <col min="3856" max="3856" width="6.42578125" style="374" customWidth="1"/>
    <col min="3857" max="3857" width="6" style="374" customWidth="1"/>
    <col min="3858" max="3859" width="5.28515625" style="374" customWidth="1"/>
    <col min="3860" max="3860" width="7.7109375" style="374" customWidth="1"/>
    <col min="3861" max="3861" width="5.28515625" style="374" customWidth="1"/>
    <col min="3862" max="3862" width="11.42578125" style="374" customWidth="1"/>
    <col min="3863" max="3863" width="8.42578125" style="374" customWidth="1"/>
    <col min="3864" max="3882" width="11.42578125" style="374" customWidth="1"/>
    <col min="3883" max="3883" width="8.85546875" style="374" customWidth="1"/>
    <col min="3884" max="4096" width="9.140625" style="374"/>
    <col min="4097" max="4097" width="23.42578125" style="374" customWidth="1"/>
    <col min="4098" max="4098" width="6" style="374" customWidth="1"/>
    <col min="4099" max="4101" width="5.28515625" style="374" customWidth="1"/>
    <col min="4102" max="4102" width="7.85546875" style="374" customWidth="1"/>
    <col min="4103" max="4103" width="8" style="374" customWidth="1"/>
    <col min="4104" max="4104" width="6.7109375" style="374" customWidth="1"/>
    <col min="4105" max="4105" width="7" style="374" customWidth="1"/>
    <col min="4106" max="4106" width="7.7109375" style="374" customWidth="1"/>
    <col min="4107" max="4107" width="7.140625" style="374" customWidth="1"/>
    <col min="4108" max="4108" width="7.7109375" style="374" customWidth="1"/>
    <col min="4109" max="4109" width="6.85546875" style="374" customWidth="1"/>
    <col min="4110" max="4110" width="8" style="374" customWidth="1"/>
    <col min="4111" max="4111" width="7.28515625" style="374" customWidth="1"/>
    <col min="4112" max="4112" width="6.42578125" style="374" customWidth="1"/>
    <col min="4113" max="4113" width="6" style="374" customWidth="1"/>
    <col min="4114" max="4115" width="5.28515625" style="374" customWidth="1"/>
    <col min="4116" max="4116" width="7.7109375" style="374" customWidth="1"/>
    <col min="4117" max="4117" width="5.28515625" style="374" customWidth="1"/>
    <col min="4118" max="4118" width="11.42578125" style="374" customWidth="1"/>
    <col min="4119" max="4119" width="8.42578125" style="374" customWidth="1"/>
    <col min="4120" max="4138" width="11.42578125" style="374" customWidth="1"/>
    <col min="4139" max="4139" width="8.85546875" style="374" customWidth="1"/>
    <col min="4140" max="4352" width="9.140625" style="374"/>
    <col min="4353" max="4353" width="23.42578125" style="374" customWidth="1"/>
    <col min="4354" max="4354" width="6" style="374" customWidth="1"/>
    <col min="4355" max="4357" width="5.28515625" style="374" customWidth="1"/>
    <col min="4358" max="4358" width="7.85546875" style="374" customWidth="1"/>
    <col min="4359" max="4359" width="8" style="374" customWidth="1"/>
    <col min="4360" max="4360" width="6.7109375" style="374" customWidth="1"/>
    <col min="4361" max="4361" width="7" style="374" customWidth="1"/>
    <col min="4362" max="4362" width="7.7109375" style="374" customWidth="1"/>
    <col min="4363" max="4363" width="7.140625" style="374" customWidth="1"/>
    <col min="4364" max="4364" width="7.7109375" style="374" customWidth="1"/>
    <col min="4365" max="4365" width="6.85546875" style="374" customWidth="1"/>
    <col min="4366" max="4366" width="8" style="374" customWidth="1"/>
    <col min="4367" max="4367" width="7.28515625" style="374" customWidth="1"/>
    <col min="4368" max="4368" width="6.42578125" style="374" customWidth="1"/>
    <col min="4369" max="4369" width="6" style="374" customWidth="1"/>
    <col min="4370" max="4371" width="5.28515625" style="374" customWidth="1"/>
    <col min="4372" max="4372" width="7.7109375" style="374" customWidth="1"/>
    <col min="4373" max="4373" width="5.28515625" style="374" customWidth="1"/>
    <col min="4374" max="4374" width="11.42578125" style="374" customWidth="1"/>
    <col min="4375" max="4375" width="8.42578125" style="374" customWidth="1"/>
    <col min="4376" max="4394" width="11.42578125" style="374" customWidth="1"/>
    <col min="4395" max="4395" width="8.85546875" style="374" customWidth="1"/>
    <col min="4396" max="4608" width="9.140625" style="374"/>
    <col min="4609" max="4609" width="23.42578125" style="374" customWidth="1"/>
    <col min="4610" max="4610" width="6" style="374" customWidth="1"/>
    <col min="4611" max="4613" width="5.28515625" style="374" customWidth="1"/>
    <col min="4614" max="4614" width="7.85546875" style="374" customWidth="1"/>
    <col min="4615" max="4615" width="8" style="374" customWidth="1"/>
    <col min="4616" max="4616" width="6.7109375" style="374" customWidth="1"/>
    <col min="4617" max="4617" width="7" style="374" customWidth="1"/>
    <col min="4618" max="4618" width="7.7109375" style="374" customWidth="1"/>
    <col min="4619" max="4619" width="7.140625" style="374" customWidth="1"/>
    <col min="4620" max="4620" width="7.7109375" style="374" customWidth="1"/>
    <col min="4621" max="4621" width="6.85546875" style="374" customWidth="1"/>
    <col min="4622" max="4622" width="8" style="374" customWidth="1"/>
    <col min="4623" max="4623" width="7.28515625" style="374" customWidth="1"/>
    <col min="4624" max="4624" width="6.42578125" style="374" customWidth="1"/>
    <col min="4625" max="4625" width="6" style="374" customWidth="1"/>
    <col min="4626" max="4627" width="5.28515625" style="374" customWidth="1"/>
    <col min="4628" max="4628" width="7.7109375" style="374" customWidth="1"/>
    <col min="4629" max="4629" width="5.28515625" style="374" customWidth="1"/>
    <col min="4630" max="4630" width="11.42578125" style="374" customWidth="1"/>
    <col min="4631" max="4631" width="8.42578125" style="374" customWidth="1"/>
    <col min="4632" max="4650" width="11.42578125" style="374" customWidth="1"/>
    <col min="4651" max="4651" width="8.85546875" style="374" customWidth="1"/>
    <col min="4652" max="4864" width="9.140625" style="374"/>
    <col min="4865" max="4865" width="23.42578125" style="374" customWidth="1"/>
    <col min="4866" max="4866" width="6" style="374" customWidth="1"/>
    <col min="4867" max="4869" width="5.28515625" style="374" customWidth="1"/>
    <col min="4870" max="4870" width="7.85546875" style="374" customWidth="1"/>
    <col min="4871" max="4871" width="8" style="374" customWidth="1"/>
    <col min="4872" max="4872" width="6.7109375" style="374" customWidth="1"/>
    <col min="4873" max="4873" width="7" style="374" customWidth="1"/>
    <col min="4874" max="4874" width="7.7109375" style="374" customWidth="1"/>
    <col min="4875" max="4875" width="7.140625" style="374" customWidth="1"/>
    <col min="4876" max="4876" width="7.7109375" style="374" customWidth="1"/>
    <col min="4877" max="4877" width="6.85546875" style="374" customWidth="1"/>
    <col min="4878" max="4878" width="8" style="374" customWidth="1"/>
    <col min="4879" max="4879" width="7.28515625" style="374" customWidth="1"/>
    <col min="4880" max="4880" width="6.42578125" style="374" customWidth="1"/>
    <col min="4881" max="4881" width="6" style="374" customWidth="1"/>
    <col min="4882" max="4883" width="5.28515625" style="374" customWidth="1"/>
    <col min="4884" max="4884" width="7.7109375" style="374" customWidth="1"/>
    <col min="4885" max="4885" width="5.28515625" style="374" customWidth="1"/>
    <col min="4886" max="4886" width="11.42578125" style="374" customWidth="1"/>
    <col min="4887" max="4887" width="8.42578125" style="374" customWidth="1"/>
    <col min="4888" max="4906" width="11.42578125" style="374" customWidth="1"/>
    <col min="4907" max="4907" width="8.85546875" style="374" customWidth="1"/>
    <col min="4908" max="5120" width="9.140625" style="374"/>
    <col min="5121" max="5121" width="23.42578125" style="374" customWidth="1"/>
    <col min="5122" max="5122" width="6" style="374" customWidth="1"/>
    <col min="5123" max="5125" width="5.28515625" style="374" customWidth="1"/>
    <col min="5126" max="5126" width="7.85546875" style="374" customWidth="1"/>
    <col min="5127" max="5127" width="8" style="374" customWidth="1"/>
    <col min="5128" max="5128" width="6.7109375" style="374" customWidth="1"/>
    <col min="5129" max="5129" width="7" style="374" customWidth="1"/>
    <col min="5130" max="5130" width="7.7109375" style="374" customWidth="1"/>
    <col min="5131" max="5131" width="7.140625" style="374" customWidth="1"/>
    <col min="5132" max="5132" width="7.7109375" style="374" customWidth="1"/>
    <col min="5133" max="5133" width="6.85546875" style="374" customWidth="1"/>
    <col min="5134" max="5134" width="8" style="374" customWidth="1"/>
    <col min="5135" max="5135" width="7.28515625" style="374" customWidth="1"/>
    <col min="5136" max="5136" width="6.42578125" style="374" customWidth="1"/>
    <col min="5137" max="5137" width="6" style="374" customWidth="1"/>
    <col min="5138" max="5139" width="5.28515625" style="374" customWidth="1"/>
    <col min="5140" max="5140" width="7.7109375" style="374" customWidth="1"/>
    <col min="5141" max="5141" width="5.28515625" style="374" customWidth="1"/>
    <col min="5142" max="5142" width="11.42578125" style="374" customWidth="1"/>
    <col min="5143" max="5143" width="8.42578125" style="374" customWidth="1"/>
    <col min="5144" max="5162" width="11.42578125" style="374" customWidth="1"/>
    <col min="5163" max="5163" width="8.85546875" style="374" customWidth="1"/>
    <col min="5164" max="5376" width="9.140625" style="374"/>
    <col min="5377" max="5377" width="23.42578125" style="374" customWidth="1"/>
    <col min="5378" max="5378" width="6" style="374" customWidth="1"/>
    <col min="5379" max="5381" width="5.28515625" style="374" customWidth="1"/>
    <col min="5382" max="5382" width="7.85546875" style="374" customWidth="1"/>
    <col min="5383" max="5383" width="8" style="374" customWidth="1"/>
    <col min="5384" max="5384" width="6.7109375" style="374" customWidth="1"/>
    <col min="5385" max="5385" width="7" style="374" customWidth="1"/>
    <col min="5386" max="5386" width="7.7109375" style="374" customWidth="1"/>
    <col min="5387" max="5387" width="7.140625" style="374" customWidth="1"/>
    <col min="5388" max="5388" width="7.7109375" style="374" customWidth="1"/>
    <col min="5389" max="5389" width="6.85546875" style="374" customWidth="1"/>
    <col min="5390" max="5390" width="8" style="374" customWidth="1"/>
    <col min="5391" max="5391" width="7.28515625" style="374" customWidth="1"/>
    <col min="5392" max="5392" width="6.42578125" style="374" customWidth="1"/>
    <col min="5393" max="5393" width="6" style="374" customWidth="1"/>
    <col min="5394" max="5395" width="5.28515625" style="374" customWidth="1"/>
    <col min="5396" max="5396" width="7.7109375" style="374" customWidth="1"/>
    <col min="5397" max="5397" width="5.28515625" style="374" customWidth="1"/>
    <col min="5398" max="5398" width="11.42578125" style="374" customWidth="1"/>
    <col min="5399" max="5399" width="8.42578125" style="374" customWidth="1"/>
    <col min="5400" max="5418" width="11.42578125" style="374" customWidth="1"/>
    <col min="5419" max="5419" width="8.85546875" style="374" customWidth="1"/>
    <col min="5420" max="5632" width="9.140625" style="374"/>
    <col min="5633" max="5633" width="23.42578125" style="374" customWidth="1"/>
    <col min="5634" max="5634" width="6" style="374" customWidth="1"/>
    <col min="5635" max="5637" width="5.28515625" style="374" customWidth="1"/>
    <col min="5638" max="5638" width="7.85546875" style="374" customWidth="1"/>
    <col min="5639" max="5639" width="8" style="374" customWidth="1"/>
    <col min="5640" max="5640" width="6.7109375" style="374" customWidth="1"/>
    <col min="5641" max="5641" width="7" style="374" customWidth="1"/>
    <col min="5642" max="5642" width="7.7109375" style="374" customWidth="1"/>
    <col min="5643" max="5643" width="7.140625" style="374" customWidth="1"/>
    <col min="5644" max="5644" width="7.7109375" style="374" customWidth="1"/>
    <col min="5645" max="5645" width="6.85546875" style="374" customWidth="1"/>
    <col min="5646" max="5646" width="8" style="374" customWidth="1"/>
    <col min="5647" max="5647" width="7.28515625" style="374" customWidth="1"/>
    <col min="5648" max="5648" width="6.42578125" style="374" customWidth="1"/>
    <col min="5649" max="5649" width="6" style="374" customWidth="1"/>
    <col min="5650" max="5651" width="5.28515625" style="374" customWidth="1"/>
    <col min="5652" max="5652" width="7.7109375" style="374" customWidth="1"/>
    <col min="5653" max="5653" width="5.28515625" style="374" customWidth="1"/>
    <col min="5654" max="5654" width="11.42578125" style="374" customWidth="1"/>
    <col min="5655" max="5655" width="8.42578125" style="374" customWidth="1"/>
    <col min="5656" max="5674" width="11.42578125" style="374" customWidth="1"/>
    <col min="5675" max="5675" width="8.85546875" style="374" customWidth="1"/>
    <col min="5676" max="5888" width="9.140625" style="374"/>
    <col min="5889" max="5889" width="23.42578125" style="374" customWidth="1"/>
    <col min="5890" max="5890" width="6" style="374" customWidth="1"/>
    <col min="5891" max="5893" width="5.28515625" style="374" customWidth="1"/>
    <col min="5894" max="5894" width="7.85546875" style="374" customWidth="1"/>
    <col min="5895" max="5895" width="8" style="374" customWidth="1"/>
    <col min="5896" max="5896" width="6.7109375" style="374" customWidth="1"/>
    <col min="5897" max="5897" width="7" style="374" customWidth="1"/>
    <col min="5898" max="5898" width="7.7109375" style="374" customWidth="1"/>
    <col min="5899" max="5899" width="7.140625" style="374" customWidth="1"/>
    <col min="5900" max="5900" width="7.7109375" style="374" customWidth="1"/>
    <col min="5901" max="5901" width="6.85546875" style="374" customWidth="1"/>
    <col min="5902" max="5902" width="8" style="374" customWidth="1"/>
    <col min="5903" max="5903" width="7.28515625" style="374" customWidth="1"/>
    <col min="5904" max="5904" width="6.42578125" style="374" customWidth="1"/>
    <col min="5905" max="5905" width="6" style="374" customWidth="1"/>
    <col min="5906" max="5907" width="5.28515625" style="374" customWidth="1"/>
    <col min="5908" max="5908" width="7.7109375" style="374" customWidth="1"/>
    <col min="5909" max="5909" width="5.28515625" style="374" customWidth="1"/>
    <col min="5910" max="5910" width="11.42578125" style="374" customWidth="1"/>
    <col min="5911" max="5911" width="8.42578125" style="374" customWidth="1"/>
    <col min="5912" max="5930" width="11.42578125" style="374" customWidth="1"/>
    <col min="5931" max="5931" width="8.85546875" style="374" customWidth="1"/>
    <col min="5932" max="6144" width="9.140625" style="374"/>
    <col min="6145" max="6145" width="23.42578125" style="374" customWidth="1"/>
    <col min="6146" max="6146" width="6" style="374" customWidth="1"/>
    <col min="6147" max="6149" width="5.28515625" style="374" customWidth="1"/>
    <col min="6150" max="6150" width="7.85546875" style="374" customWidth="1"/>
    <col min="6151" max="6151" width="8" style="374" customWidth="1"/>
    <col min="6152" max="6152" width="6.7109375" style="374" customWidth="1"/>
    <col min="6153" max="6153" width="7" style="374" customWidth="1"/>
    <col min="6154" max="6154" width="7.7109375" style="374" customWidth="1"/>
    <col min="6155" max="6155" width="7.140625" style="374" customWidth="1"/>
    <col min="6156" max="6156" width="7.7109375" style="374" customWidth="1"/>
    <col min="6157" max="6157" width="6.85546875" style="374" customWidth="1"/>
    <col min="6158" max="6158" width="8" style="374" customWidth="1"/>
    <col min="6159" max="6159" width="7.28515625" style="374" customWidth="1"/>
    <col min="6160" max="6160" width="6.42578125" style="374" customWidth="1"/>
    <col min="6161" max="6161" width="6" style="374" customWidth="1"/>
    <col min="6162" max="6163" width="5.28515625" style="374" customWidth="1"/>
    <col min="6164" max="6164" width="7.7109375" style="374" customWidth="1"/>
    <col min="6165" max="6165" width="5.28515625" style="374" customWidth="1"/>
    <col min="6166" max="6166" width="11.42578125" style="374" customWidth="1"/>
    <col min="6167" max="6167" width="8.42578125" style="374" customWidth="1"/>
    <col min="6168" max="6186" width="11.42578125" style="374" customWidth="1"/>
    <col min="6187" max="6187" width="8.85546875" style="374" customWidth="1"/>
    <col min="6188" max="6400" width="9.140625" style="374"/>
    <col min="6401" max="6401" width="23.42578125" style="374" customWidth="1"/>
    <col min="6402" max="6402" width="6" style="374" customWidth="1"/>
    <col min="6403" max="6405" width="5.28515625" style="374" customWidth="1"/>
    <col min="6406" max="6406" width="7.85546875" style="374" customWidth="1"/>
    <col min="6407" max="6407" width="8" style="374" customWidth="1"/>
    <col min="6408" max="6408" width="6.7109375" style="374" customWidth="1"/>
    <col min="6409" max="6409" width="7" style="374" customWidth="1"/>
    <col min="6410" max="6410" width="7.7109375" style="374" customWidth="1"/>
    <col min="6411" max="6411" width="7.140625" style="374" customWidth="1"/>
    <col min="6412" max="6412" width="7.7109375" style="374" customWidth="1"/>
    <col min="6413" max="6413" width="6.85546875" style="374" customWidth="1"/>
    <col min="6414" max="6414" width="8" style="374" customWidth="1"/>
    <col min="6415" max="6415" width="7.28515625" style="374" customWidth="1"/>
    <col min="6416" max="6416" width="6.42578125" style="374" customWidth="1"/>
    <col min="6417" max="6417" width="6" style="374" customWidth="1"/>
    <col min="6418" max="6419" width="5.28515625" style="374" customWidth="1"/>
    <col min="6420" max="6420" width="7.7109375" style="374" customWidth="1"/>
    <col min="6421" max="6421" width="5.28515625" style="374" customWidth="1"/>
    <col min="6422" max="6422" width="11.42578125" style="374" customWidth="1"/>
    <col min="6423" max="6423" width="8.42578125" style="374" customWidth="1"/>
    <col min="6424" max="6442" width="11.42578125" style="374" customWidth="1"/>
    <col min="6443" max="6443" width="8.85546875" style="374" customWidth="1"/>
    <col min="6444" max="6656" width="9.140625" style="374"/>
    <col min="6657" max="6657" width="23.42578125" style="374" customWidth="1"/>
    <col min="6658" max="6658" width="6" style="374" customWidth="1"/>
    <col min="6659" max="6661" width="5.28515625" style="374" customWidth="1"/>
    <col min="6662" max="6662" width="7.85546875" style="374" customWidth="1"/>
    <col min="6663" max="6663" width="8" style="374" customWidth="1"/>
    <col min="6664" max="6664" width="6.7109375" style="374" customWidth="1"/>
    <col min="6665" max="6665" width="7" style="374" customWidth="1"/>
    <col min="6666" max="6666" width="7.7109375" style="374" customWidth="1"/>
    <col min="6667" max="6667" width="7.140625" style="374" customWidth="1"/>
    <col min="6668" max="6668" width="7.7109375" style="374" customWidth="1"/>
    <col min="6669" max="6669" width="6.85546875" style="374" customWidth="1"/>
    <col min="6670" max="6670" width="8" style="374" customWidth="1"/>
    <col min="6671" max="6671" width="7.28515625" style="374" customWidth="1"/>
    <col min="6672" max="6672" width="6.42578125" style="374" customWidth="1"/>
    <col min="6673" max="6673" width="6" style="374" customWidth="1"/>
    <col min="6674" max="6675" width="5.28515625" style="374" customWidth="1"/>
    <col min="6676" max="6676" width="7.7109375" style="374" customWidth="1"/>
    <col min="6677" max="6677" width="5.28515625" style="374" customWidth="1"/>
    <col min="6678" max="6678" width="11.42578125" style="374" customWidth="1"/>
    <col min="6679" max="6679" width="8.42578125" style="374" customWidth="1"/>
    <col min="6680" max="6698" width="11.42578125" style="374" customWidth="1"/>
    <col min="6699" max="6699" width="8.85546875" style="374" customWidth="1"/>
    <col min="6700" max="6912" width="9.140625" style="374"/>
    <col min="6913" max="6913" width="23.42578125" style="374" customWidth="1"/>
    <col min="6914" max="6914" width="6" style="374" customWidth="1"/>
    <col min="6915" max="6917" width="5.28515625" style="374" customWidth="1"/>
    <col min="6918" max="6918" width="7.85546875" style="374" customWidth="1"/>
    <col min="6919" max="6919" width="8" style="374" customWidth="1"/>
    <col min="6920" max="6920" width="6.7109375" style="374" customWidth="1"/>
    <col min="6921" max="6921" width="7" style="374" customWidth="1"/>
    <col min="6922" max="6922" width="7.7109375" style="374" customWidth="1"/>
    <col min="6923" max="6923" width="7.140625" style="374" customWidth="1"/>
    <col min="6924" max="6924" width="7.7109375" style="374" customWidth="1"/>
    <col min="6925" max="6925" width="6.85546875" style="374" customWidth="1"/>
    <col min="6926" max="6926" width="8" style="374" customWidth="1"/>
    <col min="6927" max="6927" width="7.28515625" style="374" customWidth="1"/>
    <col min="6928" max="6928" width="6.42578125" style="374" customWidth="1"/>
    <col min="6929" max="6929" width="6" style="374" customWidth="1"/>
    <col min="6930" max="6931" width="5.28515625" style="374" customWidth="1"/>
    <col min="6932" max="6932" width="7.7109375" style="374" customWidth="1"/>
    <col min="6933" max="6933" width="5.28515625" style="374" customWidth="1"/>
    <col min="6934" max="6934" width="11.42578125" style="374" customWidth="1"/>
    <col min="6935" max="6935" width="8.42578125" style="374" customWidth="1"/>
    <col min="6936" max="6954" width="11.42578125" style="374" customWidth="1"/>
    <col min="6955" max="6955" width="8.85546875" style="374" customWidth="1"/>
    <col min="6956" max="7168" width="9.140625" style="374"/>
    <col min="7169" max="7169" width="23.42578125" style="374" customWidth="1"/>
    <col min="7170" max="7170" width="6" style="374" customWidth="1"/>
    <col min="7171" max="7173" width="5.28515625" style="374" customWidth="1"/>
    <col min="7174" max="7174" width="7.85546875" style="374" customWidth="1"/>
    <col min="7175" max="7175" width="8" style="374" customWidth="1"/>
    <col min="7176" max="7176" width="6.7109375" style="374" customWidth="1"/>
    <col min="7177" max="7177" width="7" style="374" customWidth="1"/>
    <col min="7178" max="7178" width="7.7109375" style="374" customWidth="1"/>
    <col min="7179" max="7179" width="7.140625" style="374" customWidth="1"/>
    <col min="7180" max="7180" width="7.7109375" style="374" customWidth="1"/>
    <col min="7181" max="7181" width="6.85546875" style="374" customWidth="1"/>
    <col min="7182" max="7182" width="8" style="374" customWidth="1"/>
    <col min="7183" max="7183" width="7.28515625" style="374" customWidth="1"/>
    <col min="7184" max="7184" width="6.42578125" style="374" customWidth="1"/>
    <col min="7185" max="7185" width="6" style="374" customWidth="1"/>
    <col min="7186" max="7187" width="5.28515625" style="374" customWidth="1"/>
    <col min="7188" max="7188" width="7.7109375" style="374" customWidth="1"/>
    <col min="7189" max="7189" width="5.28515625" style="374" customWidth="1"/>
    <col min="7190" max="7190" width="11.42578125" style="374" customWidth="1"/>
    <col min="7191" max="7191" width="8.42578125" style="374" customWidth="1"/>
    <col min="7192" max="7210" width="11.42578125" style="374" customWidth="1"/>
    <col min="7211" max="7211" width="8.85546875" style="374" customWidth="1"/>
    <col min="7212" max="7424" width="9.140625" style="374"/>
    <col min="7425" max="7425" width="23.42578125" style="374" customWidth="1"/>
    <col min="7426" max="7426" width="6" style="374" customWidth="1"/>
    <col min="7427" max="7429" width="5.28515625" style="374" customWidth="1"/>
    <col min="7430" max="7430" width="7.85546875" style="374" customWidth="1"/>
    <col min="7431" max="7431" width="8" style="374" customWidth="1"/>
    <col min="7432" max="7432" width="6.7109375" style="374" customWidth="1"/>
    <col min="7433" max="7433" width="7" style="374" customWidth="1"/>
    <col min="7434" max="7434" width="7.7109375" style="374" customWidth="1"/>
    <col min="7435" max="7435" width="7.140625" style="374" customWidth="1"/>
    <col min="7436" max="7436" width="7.7109375" style="374" customWidth="1"/>
    <col min="7437" max="7437" width="6.85546875" style="374" customWidth="1"/>
    <col min="7438" max="7438" width="8" style="374" customWidth="1"/>
    <col min="7439" max="7439" width="7.28515625" style="374" customWidth="1"/>
    <col min="7440" max="7440" width="6.42578125" style="374" customWidth="1"/>
    <col min="7441" max="7441" width="6" style="374" customWidth="1"/>
    <col min="7442" max="7443" width="5.28515625" style="374" customWidth="1"/>
    <col min="7444" max="7444" width="7.7109375" style="374" customWidth="1"/>
    <col min="7445" max="7445" width="5.28515625" style="374" customWidth="1"/>
    <col min="7446" max="7446" width="11.42578125" style="374" customWidth="1"/>
    <col min="7447" max="7447" width="8.42578125" style="374" customWidth="1"/>
    <col min="7448" max="7466" width="11.42578125" style="374" customWidth="1"/>
    <col min="7467" max="7467" width="8.85546875" style="374" customWidth="1"/>
    <col min="7468" max="7680" width="9.140625" style="374"/>
    <col min="7681" max="7681" width="23.42578125" style="374" customWidth="1"/>
    <col min="7682" max="7682" width="6" style="374" customWidth="1"/>
    <col min="7683" max="7685" width="5.28515625" style="374" customWidth="1"/>
    <col min="7686" max="7686" width="7.85546875" style="374" customWidth="1"/>
    <col min="7687" max="7687" width="8" style="374" customWidth="1"/>
    <col min="7688" max="7688" width="6.7109375" style="374" customWidth="1"/>
    <col min="7689" max="7689" width="7" style="374" customWidth="1"/>
    <col min="7690" max="7690" width="7.7109375" style="374" customWidth="1"/>
    <col min="7691" max="7691" width="7.140625" style="374" customWidth="1"/>
    <col min="7692" max="7692" width="7.7109375" style="374" customWidth="1"/>
    <col min="7693" max="7693" width="6.85546875" style="374" customWidth="1"/>
    <col min="7694" max="7694" width="8" style="374" customWidth="1"/>
    <col min="7695" max="7695" width="7.28515625" style="374" customWidth="1"/>
    <col min="7696" max="7696" width="6.42578125" style="374" customWidth="1"/>
    <col min="7697" max="7697" width="6" style="374" customWidth="1"/>
    <col min="7698" max="7699" width="5.28515625" style="374" customWidth="1"/>
    <col min="7700" max="7700" width="7.7109375" style="374" customWidth="1"/>
    <col min="7701" max="7701" width="5.28515625" style="374" customWidth="1"/>
    <col min="7702" max="7702" width="11.42578125" style="374" customWidth="1"/>
    <col min="7703" max="7703" width="8.42578125" style="374" customWidth="1"/>
    <col min="7704" max="7722" width="11.42578125" style="374" customWidth="1"/>
    <col min="7723" max="7723" width="8.85546875" style="374" customWidth="1"/>
    <col min="7724" max="7936" width="9.140625" style="374"/>
    <col min="7937" max="7937" width="23.42578125" style="374" customWidth="1"/>
    <col min="7938" max="7938" width="6" style="374" customWidth="1"/>
    <col min="7939" max="7941" width="5.28515625" style="374" customWidth="1"/>
    <col min="7942" max="7942" width="7.85546875" style="374" customWidth="1"/>
    <col min="7943" max="7943" width="8" style="374" customWidth="1"/>
    <col min="7944" max="7944" width="6.7109375" style="374" customWidth="1"/>
    <col min="7945" max="7945" width="7" style="374" customWidth="1"/>
    <col min="7946" max="7946" width="7.7109375" style="374" customWidth="1"/>
    <col min="7947" max="7947" width="7.140625" style="374" customWidth="1"/>
    <col min="7948" max="7948" width="7.7109375" style="374" customWidth="1"/>
    <col min="7949" max="7949" width="6.85546875" style="374" customWidth="1"/>
    <col min="7950" max="7950" width="8" style="374" customWidth="1"/>
    <col min="7951" max="7951" width="7.28515625" style="374" customWidth="1"/>
    <col min="7952" max="7952" width="6.42578125" style="374" customWidth="1"/>
    <col min="7953" max="7953" width="6" style="374" customWidth="1"/>
    <col min="7954" max="7955" width="5.28515625" style="374" customWidth="1"/>
    <col min="7956" max="7956" width="7.7109375" style="374" customWidth="1"/>
    <col min="7957" max="7957" width="5.28515625" style="374" customWidth="1"/>
    <col min="7958" max="7958" width="11.42578125" style="374" customWidth="1"/>
    <col min="7959" max="7959" width="8.42578125" style="374" customWidth="1"/>
    <col min="7960" max="7978" width="11.42578125" style="374" customWidth="1"/>
    <col min="7979" max="7979" width="8.85546875" style="374" customWidth="1"/>
    <col min="7980" max="8192" width="9.140625" style="374"/>
    <col min="8193" max="8193" width="23.42578125" style="374" customWidth="1"/>
    <col min="8194" max="8194" width="6" style="374" customWidth="1"/>
    <col min="8195" max="8197" width="5.28515625" style="374" customWidth="1"/>
    <col min="8198" max="8198" width="7.85546875" style="374" customWidth="1"/>
    <col min="8199" max="8199" width="8" style="374" customWidth="1"/>
    <col min="8200" max="8200" width="6.7109375" style="374" customWidth="1"/>
    <col min="8201" max="8201" width="7" style="374" customWidth="1"/>
    <col min="8202" max="8202" width="7.7109375" style="374" customWidth="1"/>
    <col min="8203" max="8203" width="7.140625" style="374" customWidth="1"/>
    <col min="8204" max="8204" width="7.7109375" style="374" customWidth="1"/>
    <col min="8205" max="8205" width="6.85546875" style="374" customWidth="1"/>
    <col min="8206" max="8206" width="8" style="374" customWidth="1"/>
    <col min="8207" max="8207" width="7.28515625" style="374" customWidth="1"/>
    <col min="8208" max="8208" width="6.42578125" style="374" customWidth="1"/>
    <col min="8209" max="8209" width="6" style="374" customWidth="1"/>
    <col min="8210" max="8211" width="5.28515625" style="374" customWidth="1"/>
    <col min="8212" max="8212" width="7.7109375" style="374" customWidth="1"/>
    <col min="8213" max="8213" width="5.28515625" style="374" customWidth="1"/>
    <col min="8214" max="8214" width="11.42578125" style="374" customWidth="1"/>
    <col min="8215" max="8215" width="8.42578125" style="374" customWidth="1"/>
    <col min="8216" max="8234" width="11.42578125" style="374" customWidth="1"/>
    <col min="8235" max="8235" width="8.85546875" style="374" customWidth="1"/>
    <col min="8236" max="8448" width="9.140625" style="374"/>
    <col min="8449" max="8449" width="23.42578125" style="374" customWidth="1"/>
    <col min="8450" max="8450" width="6" style="374" customWidth="1"/>
    <col min="8451" max="8453" width="5.28515625" style="374" customWidth="1"/>
    <col min="8454" max="8454" width="7.85546875" style="374" customWidth="1"/>
    <col min="8455" max="8455" width="8" style="374" customWidth="1"/>
    <col min="8456" max="8456" width="6.7109375" style="374" customWidth="1"/>
    <col min="8457" max="8457" width="7" style="374" customWidth="1"/>
    <col min="8458" max="8458" width="7.7109375" style="374" customWidth="1"/>
    <col min="8459" max="8459" width="7.140625" style="374" customWidth="1"/>
    <col min="8460" max="8460" width="7.7109375" style="374" customWidth="1"/>
    <col min="8461" max="8461" width="6.85546875" style="374" customWidth="1"/>
    <col min="8462" max="8462" width="8" style="374" customWidth="1"/>
    <col min="8463" max="8463" width="7.28515625" style="374" customWidth="1"/>
    <col min="8464" max="8464" width="6.42578125" style="374" customWidth="1"/>
    <col min="8465" max="8465" width="6" style="374" customWidth="1"/>
    <col min="8466" max="8467" width="5.28515625" style="374" customWidth="1"/>
    <col min="8468" max="8468" width="7.7109375" style="374" customWidth="1"/>
    <col min="8469" max="8469" width="5.28515625" style="374" customWidth="1"/>
    <col min="8470" max="8470" width="11.42578125" style="374" customWidth="1"/>
    <col min="8471" max="8471" width="8.42578125" style="374" customWidth="1"/>
    <col min="8472" max="8490" width="11.42578125" style="374" customWidth="1"/>
    <col min="8491" max="8491" width="8.85546875" style="374" customWidth="1"/>
    <col min="8492" max="8704" width="9.140625" style="374"/>
    <col min="8705" max="8705" width="23.42578125" style="374" customWidth="1"/>
    <col min="8706" max="8706" width="6" style="374" customWidth="1"/>
    <col min="8707" max="8709" width="5.28515625" style="374" customWidth="1"/>
    <col min="8710" max="8710" width="7.85546875" style="374" customWidth="1"/>
    <col min="8711" max="8711" width="8" style="374" customWidth="1"/>
    <col min="8712" max="8712" width="6.7109375" style="374" customWidth="1"/>
    <col min="8713" max="8713" width="7" style="374" customWidth="1"/>
    <col min="8714" max="8714" width="7.7109375" style="374" customWidth="1"/>
    <col min="8715" max="8715" width="7.140625" style="374" customWidth="1"/>
    <col min="8716" max="8716" width="7.7109375" style="374" customWidth="1"/>
    <col min="8717" max="8717" width="6.85546875" style="374" customWidth="1"/>
    <col min="8718" max="8718" width="8" style="374" customWidth="1"/>
    <col min="8719" max="8719" width="7.28515625" style="374" customWidth="1"/>
    <col min="8720" max="8720" width="6.42578125" style="374" customWidth="1"/>
    <col min="8721" max="8721" width="6" style="374" customWidth="1"/>
    <col min="8722" max="8723" width="5.28515625" style="374" customWidth="1"/>
    <col min="8724" max="8724" width="7.7109375" style="374" customWidth="1"/>
    <col min="8725" max="8725" width="5.28515625" style="374" customWidth="1"/>
    <col min="8726" max="8726" width="11.42578125" style="374" customWidth="1"/>
    <col min="8727" max="8727" width="8.42578125" style="374" customWidth="1"/>
    <col min="8728" max="8746" width="11.42578125" style="374" customWidth="1"/>
    <col min="8747" max="8747" width="8.85546875" style="374" customWidth="1"/>
    <col min="8748" max="8960" width="9.140625" style="374"/>
    <col min="8961" max="8961" width="23.42578125" style="374" customWidth="1"/>
    <col min="8962" max="8962" width="6" style="374" customWidth="1"/>
    <col min="8963" max="8965" width="5.28515625" style="374" customWidth="1"/>
    <col min="8966" max="8966" width="7.85546875" style="374" customWidth="1"/>
    <col min="8967" max="8967" width="8" style="374" customWidth="1"/>
    <col min="8968" max="8968" width="6.7109375" style="374" customWidth="1"/>
    <col min="8969" max="8969" width="7" style="374" customWidth="1"/>
    <col min="8970" max="8970" width="7.7109375" style="374" customWidth="1"/>
    <col min="8971" max="8971" width="7.140625" style="374" customWidth="1"/>
    <col min="8972" max="8972" width="7.7109375" style="374" customWidth="1"/>
    <col min="8973" max="8973" width="6.85546875" style="374" customWidth="1"/>
    <col min="8974" max="8974" width="8" style="374" customWidth="1"/>
    <col min="8975" max="8975" width="7.28515625" style="374" customWidth="1"/>
    <col min="8976" max="8976" width="6.42578125" style="374" customWidth="1"/>
    <col min="8977" max="8977" width="6" style="374" customWidth="1"/>
    <col min="8978" max="8979" width="5.28515625" style="374" customWidth="1"/>
    <col min="8980" max="8980" width="7.7109375" style="374" customWidth="1"/>
    <col min="8981" max="8981" width="5.28515625" style="374" customWidth="1"/>
    <col min="8982" max="8982" width="11.42578125" style="374" customWidth="1"/>
    <col min="8983" max="8983" width="8.42578125" style="374" customWidth="1"/>
    <col min="8984" max="9002" width="11.42578125" style="374" customWidth="1"/>
    <col min="9003" max="9003" width="8.85546875" style="374" customWidth="1"/>
    <col min="9004" max="9216" width="9.140625" style="374"/>
    <col min="9217" max="9217" width="23.42578125" style="374" customWidth="1"/>
    <col min="9218" max="9218" width="6" style="374" customWidth="1"/>
    <col min="9219" max="9221" width="5.28515625" style="374" customWidth="1"/>
    <col min="9222" max="9222" width="7.85546875" style="374" customWidth="1"/>
    <col min="9223" max="9223" width="8" style="374" customWidth="1"/>
    <col min="9224" max="9224" width="6.7109375" style="374" customWidth="1"/>
    <col min="9225" max="9225" width="7" style="374" customWidth="1"/>
    <col min="9226" max="9226" width="7.7109375" style="374" customWidth="1"/>
    <col min="9227" max="9227" width="7.140625" style="374" customWidth="1"/>
    <col min="9228" max="9228" width="7.7109375" style="374" customWidth="1"/>
    <col min="9229" max="9229" width="6.85546875" style="374" customWidth="1"/>
    <col min="9230" max="9230" width="8" style="374" customWidth="1"/>
    <col min="9231" max="9231" width="7.28515625" style="374" customWidth="1"/>
    <col min="9232" max="9232" width="6.42578125" style="374" customWidth="1"/>
    <col min="9233" max="9233" width="6" style="374" customWidth="1"/>
    <col min="9234" max="9235" width="5.28515625" style="374" customWidth="1"/>
    <col min="9236" max="9236" width="7.7109375" style="374" customWidth="1"/>
    <col min="9237" max="9237" width="5.28515625" style="374" customWidth="1"/>
    <col min="9238" max="9238" width="11.42578125" style="374" customWidth="1"/>
    <col min="9239" max="9239" width="8.42578125" style="374" customWidth="1"/>
    <col min="9240" max="9258" width="11.42578125" style="374" customWidth="1"/>
    <col min="9259" max="9259" width="8.85546875" style="374" customWidth="1"/>
    <col min="9260" max="9472" width="9.140625" style="374"/>
    <col min="9473" max="9473" width="23.42578125" style="374" customWidth="1"/>
    <col min="9474" max="9474" width="6" style="374" customWidth="1"/>
    <col min="9475" max="9477" width="5.28515625" style="374" customWidth="1"/>
    <col min="9478" max="9478" width="7.85546875" style="374" customWidth="1"/>
    <col min="9479" max="9479" width="8" style="374" customWidth="1"/>
    <col min="9480" max="9480" width="6.7109375" style="374" customWidth="1"/>
    <col min="9481" max="9481" width="7" style="374" customWidth="1"/>
    <col min="9482" max="9482" width="7.7109375" style="374" customWidth="1"/>
    <col min="9483" max="9483" width="7.140625" style="374" customWidth="1"/>
    <col min="9484" max="9484" width="7.7109375" style="374" customWidth="1"/>
    <col min="9485" max="9485" width="6.85546875" style="374" customWidth="1"/>
    <col min="9486" max="9486" width="8" style="374" customWidth="1"/>
    <col min="9487" max="9487" width="7.28515625" style="374" customWidth="1"/>
    <col min="9488" max="9488" width="6.42578125" style="374" customWidth="1"/>
    <col min="9489" max="9489" width="6" style="374" customWidth="1"/>
    <col min="9490" max="9491" width="5.28515625" style="374" customWidth="1"/>
    <col min="9492" max="9492" width="7.7109375" style="374" customWidth="1"/>
    <col min="9493" max="9493" width="5.28515625" style="374" customWidth="1"/>
    <col min="9494" max="9494" width="11.42578125" style="374" customWidth="1"/>
    <col min="9495" max="9495" width="8.42578125" style="374" customWidth="1"/>
    <col min="9496" max="9514" width="11.42578125" style="374" customWidth="1"/>
    <col min="9515" max="9515" width="8.85546875" style="374" customWidth="1"/>
    <col min="9516" max="9728" width="9.140625" style="374"/>
    <col min="9729" max="9729" width="23.42578125" style="374" customWidth="1"/>
    <col min="9730" max="9730" width="6" style="374" customWidth="1"/>
    <col min="9731" max="9733" width="5.28515625" style="374" customWidth="1"/>
    <col min="9734" max="9734" width="7.85546875" style="374" customWidth="1"/>
    <col min="9735" max="9735" width="8" style="374" customWidth="1"/>
    <col min="9736" max="9736" width="6.7109375" style="374" customWidth="1"/>
    <col min="9737" max="9737" width="7" style="374" customWidth="1"/>
    <col min="9738" max="9738" width="7.7109375" style="374" customWidth="1"/>
    <col min="9739" max="9739" width="7.140625" style="374" customWidth="1"/>
    <col min="9740" max="9740" width="7.7109375" style="374" customWidth="1"/>
    <col min="9741" max="9741" width="6.85546875" style="374" customWidth="1"/>
    <col min="9742" max="9742" width="8" style="374" customWidth="1"/>
    <col min="9743" max="9743" width="7.28515625" style="374" customWidth="1"/>
    <col min="9744" max="9744" width="6.42578125" style="374" customWidth="1"/>
    <col min="9745" max="9745" width="6" style="374" customWidth="1"/>
    <col min="9746" max="9747" width="5.28515625" style="374" customWidth="1"/>
    <col min="9748" max="9748" width="7.7109375" style="374" customWidth="1"/>
    <col min="9749" max="9749" width="5.28515625" style="374" customWidth="1"/>
    <col min="9750" max="9750" width="11.42578125" style="374" customWidth="1"/>
    <col min="9751" max="9751" width="8.42578125" style="374" customWidth="1"/>
    <col min="9752" max="9770" width="11.42578125" style="374" customWidth="1"/>
    <col min="9771" max="9771" width="8.85546875" style="374" customWidth="1"/>
    <col min="9772" max="9984" width="9.140625" style="374"/>
    <col min="9985" max="9985" width="23.42578125" style="374" customWidth="1"/>
    <col min="9986" max="9986" width="6" style="374" customWidth="1"/>
    <col min="9987" max="9989" width="5.28515625" style="374" customWidth="1"/>
    <col min="9990" max="9990" width="7.85546875" style="374" customWidth="1"/>
    <col min="9991" max="9991" width="8" style="374" customWidth="1"/>
    <col min="9992" max="9992" width="6.7109375" style="374" customWidth="1"/>
    <col min="9993" max="9993" width="7" style="374" customWidth="1"/>
    <col min="9994" max="9994" width="7.7109375" style="374" customWidth="1"/>
    <col min="9995" max="9995" width="7.140625" style="374" customWidth="1"/>
    <col min="9996" max="9996" width="7.7109375" style="374" customWidth="1"/>
    <col min="9997" max="9997" width="6.85546875" style="374" customWidth="1"/>
    <col min="9998" max="9998" width="8" style="374" customWidth="1"/>
    <col min="9999" max="9999" width="7.28515625" style="374" customWidth="1"/>
    <col min="10000" max="10000" width="6.42578125" style="374" customWidth="1"/>
    <col min="10001" max="10001" width="6" style="374" customWidth="1"/>
    <col min="10002" max="10003" width="5.28515625" style="374" customWidth="1"/>
    <col min="10004" max="10004" width="7.7109375" style="374" customWidth="1"/>
    <col min="10005" max="10005" width="5.28515625" style="374" customWidth="1"/>
    <col min="10006" max="10006" width="11.42578125" style="374" customWidth="1"/>
    <col min="10007" max="10007" width="8.42578125" style="374" customWidth="1"/>
    <col min="10008" max="10026" width="11.42578125" style="374" customWidth="1"/>
    <col min="10027" max="10027" width="8.85546875" style="374" customWidth="1"/>
    <col min="10028" max="10240" width="9.140625" style="374"/>
    <col min="10241" max="10241" width="23.42578125" style="374" customWidth="1"/>
    <col min="10242" max="10242" width="6" style="374" customWidth="1"/>
    <col min="10243" max="10245" width="5.28515625" style="374" customWidth="1"/>
    <col min="10246" max="10246" width="7.85546875" style="374" customWidth="1"/>
    <col min="10247" max="10247" width="8" style="374" customWidth="1"/>
    <col min="10248" max="10248" width="6.7109375" style="374" customWidth="1"/>
    <col min="10249" max="10249" width="7" style="374" customWidth="1"/>
    <col min="10250" max="10250" width="7.7109375" style="374" customWidth="1"/>
    <col min="10251" max="10251" width="7.140625" style="374" customWidth="1"/>
    <col min="10252" max="10252" width="7.7109375" style="374" customWidth="1"/>
    <col min="10253" max="10253" width="6.85546875" style="374" customWidth="1"/>
    <col min="10254" max="10254" width="8" style="374" customWidth="1"/>
    <col min="10255" max="10255" width="7.28515625" style="374" customWidth="1"/>
    <col min="10256" max="10256" width="6.42578125" style="374" customWidth="1"/>
    <col min="10257" max="10257" width="6" style="374" customWidth="1"/>
    <col min="10258" max="10259" width="5.28515625" style="374" customWidth="1"/>
    <col min="10260" max="10260" width="7.7109375" style="374" customWidth="1"/>
    <col min="10261" max="10261" width="5.28515625" style="374" customWidth="1"/>
    <col min="10262" max="10262" width="11.42578125" style="374" customWidth="1"/>
    <col min="10263" max="10263" width="8.42578125" style="374" customWidth="1"/>
    <col min="10264" max="10282" width="11.42578125" style="374" customWidth="1"/>
    <col min="10283" max="10283" width="8.85546875" style="374" customWidth="1"/>
    <col min="10284" max="10496" width="9.140625" style="374"/>
    <col min="10497" max="10497" width="23.42578125" style="374" customWidth="1"/>
    <col min="10498" max="10498" width="6" style="374" customWidth="1"/>
    <col min="10499" max="10501" width="5.28515625" style="374" customWidth="1"/>
    <col min="10502" max="10502" width="7.85546875" style="374" customWidth="1"/>
    <col min="10503" max="10503" width="8" style="374" customWidth="1"/>
    <col min="10504" max="10504" width="6.7109375" style="374" customWidth="1"/>
    <col min="10505" max="10505" width="7" style="374" customWidth="1"/>
    <col min="10506" max="10506" width="7.7109375" style="374" customWidth="1"/>
    <col min="10507" max="10507" width="7.140625" style="374" customWidth="1"/>
    <col min="10508" max="10508" width="7.7109375" style="374" customWidth="1"/>
    <col min="10509" max="10509" width="6.85546875" style="374" customWidth="1"/>
    <col min="10510" max="10510" width="8" style="374" customWidth="1"/>
    <col min="10511" max="10511" width="7.28515625" style="374" customWidth="1"/>
    <col min="10512" max="10512" width="6.42578125" style="374" customWidth="1"/>
    <col min="10513" max="10513" width="6" style="374" customWidth="1"/>
    <col min="10514" max="10515" width="5.28515625" style="374" customWidth="1"/>
    <col min="10516" max="10516" width="7.7109375" style="374" customWidth="1"/>
    <col min="10517" max="10517" width="5.28515625" style="374" customWidth="1"/>
    <col min="10518" max="10518" width="11.42578125" style="374" customWidth="1"/>
    <col min="10519" max="10519" width="8.42578125" style="374" customWidth="1"/>
    <col min="10520" max="10538" width="11.42578125" style="374" customWidth="1"/>
    <col min="10539" max="10539" width="8.85546875" style="374" customWidth="1"/>
    <col min="10540" max="10752" width="9.140625" style="374"/>
    <col min="10753" max="10753" width="23.42578125" style="374" customWidth="1"/>
    <col min="10754" max="10754" width="6" style="374" customWidth="1"/>
    <col min="10755" max="10757" width="5.28515625" style="374" customWidth="1"/>
    <col min="10758" max="10758" width="7.85546875" style="374" customWidth="1"/>
    <col min="10759" max="10759" width="8" style="374" customWidth="1"/>
    <col min="10760" max="10760" width="6.7109375" style="374" customWidth="1"/>
    <col min="10761" max="10761" width="7" style="374" customWidth="1"/>
    <col min="10762" max="10762" width="7.7109375" style="374" customWidth="1"/>
    <col min="10763" max="10763" width="7.140625" style="374" customWidth="1"/>
    <col min="10764" max="10764" width="7.7109375" style="374" customWidth="1"/>
    <col min="10765" max="10765" width="6.85546875" style="374" customWidth="1"/>
    <col min="10766" max="10766" width="8" style="374" customWidth="1"/>
    <col min="10767" max="10767" width="7.28515625" style="374" customWidth="1"/>
    <col min="10768" max="10768" width="6.42578125" style="374" customWidth="1"/>
    <col min="10769" max="10769" width="6" style="374" customWidth="1"/>
    <col min="10770" max="10771" width="5.28515625" style="374" customWidth="1"/>
    <col min="10772" max="10772" width="7.7109375" style="374" customWidth="1"/>
    <col min="10773" max="10773" width="5.28515625" style="374" customWidth="1"/>
    <col min="10774" max="10774" width="11.42578125" style="374" customWidth="1"/>
    <col min="10775" max="10775" width="8.42578125" style="374" customWidth="1"/>
    <col min="10776" max="10794" width="11.42578125" style="374" customWidth="1"/>
    <col min="10795" max="10795" width="8.85546875" style="374" customWidth="1"/>
    <col min="10796" max="11008" width="9.140625" style="374"/>
    <col min="11009" max="11009" width="23.42578125" style="374" customWidth="1"/>
    <col min="11010" max="11010" width="6" style="374" customWidth="1"/>
    <col min="11011" max="11013" width="5.28515625" style="374" customWidth="1"/>
    <col min="11014" max="11014" width="7.85546875" style="374" customWidth="1"/>
    <col min="11015" max="11015" width="8" style="374" customWidth="1"/>
    <col min="11016" max="11016" width="6.7109375" style="374" customWidth="1"/>
    <col min="11017" max="11017" width="7" style="374" customWidth="1"/>
    <col min="11018" max="11018" width="7.7109375" style="374" customWidth="1"/>
    <col min="11019" max="11019" width="7.140625" style="374" customWidth="1"/>
    <col min="11020" max="11020" width="7.7109375" style="374" customWidth="1"/>
    <col min="11021" max="11021" width="6.85546875" style="374" customWidth="1"/>
    <col min="11022" max="11022" width="8" style="374" customWidth="1"/>
    <col min="11023" max="11023" width="7.28515625" style="374" customWidth="1"/>
    <col min="11024" max="11024" width="6.42578125" style="374" customWidth="1"/>
    <col min="11025" max="11025" width="6" style="374" customWidth="1"/>
    <col min="11026" max="11027" width="5.28515625" style="374" customWidth="1"/>
    <col min="11028" max="11028" width="7.7109375" style="374" customWidth="1"/>
    <col min="11029" max="11029" width="5.28515625" style="374" customWidth="1"/>
    <col min="11030" max="11030" width="11.42578125" style="374" customWidth="1"/>
    <col min="11031" max="11031" width="8.42578125" style="374" customWidth="1"/>
    <col min="11032" max="11050" width="11.42578125" style="374" customWidth="1"/>
    <col min="11051" max="11051" width="8.85546875" style="374" customWidth="1"/>
    <col min="11052" max="11264" width="9.140625" style="374"/>
    <col min="11265" max="11265" width="23.42578125" style="374" customWidth="1"/>
    <col min="11266" max="11266" width="6" style="374" customWidth="1"/>
    <col min="11267" max="11269" width="5.28515625" style="374" customWidth="1"/>
    <col min="11270" max="11270" width="7.85546875" style="374" customWidth="1"/>
    <col min="11271" max="11271" width="8" style="374" customWidth="1"/>
    <col min="11272" max="11272" width="6.7109375" style="374" customWidth="1"/>
    <col min="11273" max="11273" width="7" style="374" customWidth="1"/>
    <col min="11274" max="11274" width="7.7109375" style="374" customWidth="1"/>
    <col min="11275" max="11275" width="7.140625" style="374" customWidth="1"/>
    <col min="11276" max="11276" width="7.7109375" style="374" customWidth="1"/>
    <col min="11277" max="11277" width="6.85546875" style="374" customWidth="1"/>
    <col min="11278" max="11278" width="8" style="374" customWidth="1"/>
    <col min="11279" max="11279" width="7.28515625" style="374" customWidth="1"/>
    <col min="11280" max="11280" width="6.42578125" style="374" customWidth="1"/>
    <col min="11281" max="11281" width="6" style="374" customWidth="1"/>
    <col min="11282" max="11283" width="5.28515625" style="374" customWidth="1"/>
    <col min="11284" max="11284" width="7.7109375" style="374" customWidth="1"/>
    <col min="11285" max="11285" width="5.28515625" style="374" customWidth="1"/>
    <col min="11286" max="11286" width="11.42578125" style="374" customWidth="1"/>
    <col min="11287" max="11287" width="8.42578125" style="374" customWidth="1"/>
    <col min="11288" max="11306" width="11.42578125" style="374" customWidth="1"/>
    <col min="11307" max="11307" width="8.85546875" style="374" customWidth="1"/>
    <col min="11308" max="11520" width="9.140625" style="374"/>
    <col min="11521" max="11521" width="23.42578125" style="374" customWidth="1"/>
    <col min="11522" max="11522" width="6" style="374" customWidth="1"/>
    <col min="11523" max="11525" width="5.28515625" style="374" customWidth="1"/>
    <col min="11526" max="11526" width="7.85546875" style="374" customWidth="1"/>
    <col min="11527" max="11527" width="8" style="374" customWidth="1"/>
    <col min="11528" max="11528" width="6.7109375" style="374" customWidth="1"/>
    <col min="11529" max="11529" width="7" style="374" customWidth="1"/>
    <col min="11530" max="11530" width="7.7109375" style="374" customWidth="1"/>
    <col min="11531" max="11531" width="7.140625" style="374" customWidth="1"/>
    <col min="11532" max="11532" width="7.7109375" style="374" customWidth="1"/>
    <col min="11533" max="11533" width="6.85546875" style="374" customWidth="1"/>
    <col min="11534" max="11534" width="8" style="374" customWidth="1"/>
    <col min="11535" max="11535" width="7.28515625" style="374" customWidth="1"/>
    <col min="11536" max="11536" width="6.42578125" style="374" customWidth="1"/>
    <col min="11537" max="11537" width="6" style="374" customWidth="1"/>
    <col min="11538" max="11539" width="5.28515625" style="374" customWidth="1"/>
    <col min="11540" max="11540" width="7.7109375" style="374" customWidth="1"/>
    <col min="11541" max="11541" width="5.28515625" style="374" customWidth="1"/>
    <col min="11542" max="11542" width="11.42578125" style="374" customWidth="1"/>
    <col min="11543" max="11543" width="8.42578125" style="374" customWidth="1"/>
    <col min="11544" max="11562" width="11.42578125" style="374" customWidth="1"/>
    <col min="11563" max="11563" width="8.85546875" style="374" customWidth="1"/>
    <col min="11564" max="11776" width="9.140625" style="374"/>
    <col min="11777" max="11777" width="23.42578125" style="374" customWidth="1"/>
    <col min="11778" max="11778" width="6" style="374" customWidth="1"/>
    <col min="11779" max="11781" width="5.28515625" style="374" customWidth="1"/>
    <col min="11782" max="11782" width="7.85546875" style="374" customWidth="1"/>
    <col min="11783" max="11783" width="8" style="374" customWidth="1"/>
    <col min="11784" max="11784" width="6.7109375" style="374" customWidth="1"/>
    <col min="11785" max="11785" width="7" style="374" customWidth="1"/>
    <col min="11786" max="11786" width="7.7109375" style="374" customWidth="1"/>
    <col min="11787" max="11787" width="7.140625" style="374" customWidth="1"/>
    <col min="11788" max="11788" width="7.7109375" style="374" customWidth="1"/>
    <col min="11789" max="11789" width="6.85546875" style="374" customWidth="1"/>
    <col min="11790" max="11790" width="8" style="374" customWidth="1"/>
    <col min="11791" max="11791" width="7.28515625" style="374" customWidth="1"/>
    <col min="11792" max="11792" width="6.42578125" style="374" customWidth="1"/>
    <col min="11793" max="11793" width="6" style="374" customWidth="1"/>
    <col min="11794" max="11795" width="5.28515625" style="374" customWidth="1"/>
    <col min="11796" max="11796" width="7.7109375" style="374" customWidth="1"/>
    <col min="11797" max="11797" width="5.28515625" style="374" customWidth="1"/>
    <col min="11798" max="11798" width="11.42578125" style="374" customWidth="1"/>
    <col min="11799" max="11799" width="8.42578125" style="374" customWidth="1"/>
    <col min="11800" max="11818" width="11.42578125" style="374" customWidth="1"/>
    <col min="11819" max="11819" width="8.85546875" style="374" customWidth="1"/>
    <col min="11820" max="12032" width="9.140625" style="374"/>
    <col min="12033" max="12033" width="23.42578125" style="374" customWidth="1"/>
    <col min="12034" max="12034" width="6" style="374" customWidth="1"/>
    <col min="12035" max="12037" width="5.28515625" style="374" customWidth="1"/>
    <col min="12038" max="12038" width="7.85546875" style="374" customWidth="1"/>
    <col min="12039" max="12039" width="8" style="374" customWidth="1"/>
    <col min="12040" max="12040" width="6.7109375" style="374" customWidth="1"/>
    <col min="12041" max="12041" width="7" style="374" customWidth="1"/>
    <col min="12042" max="12042" width="7.7109375" style="374" customWidth="1"/>
    <col min="12043" max="12043" width="7.140625" style="374" customWidth="1"/>
    <col min="12044" max="12044" width="7.7109375" style="374" customWidth="1"/>
    <col min="12045" max="12045" width="6.85546875" style="374" customWidth="1"/>
    <col min="12046" max="12046" width="8" style="374" customWidth="1"/>
    <col min="12047" max="12047" width="7.28515625" style="374" customWidth="1"/>
    <col min="12048" max="12048" width="6.42578125" style="374" customWidth="1"/>
    <col min="12049" max="12049" width="6" style="374" customWidth="1"/>
    <col min="12050" max="12051" width="5.28515625" style="374" customWidth="1"/>
    <col min="12052" max="12052" width="7.7109375" style="374" customWidth="1"/>
    <col min="12053" max="12053" width="5.28515625" style="374" customWidth="1"/>
    <col min="12054" max="12054" width="11.42578125" style="374" customWidth="1"/>
    <col min="12055" max="12055" width="8.42578125" style="374" customWidth="1"/>
    <col min="12056" max="12074" width="11.42578125" style="374" customWidth="1"/>
    <col min="12075" max="12075" width="8.85546875" style="374" customWidth="1"/>
    <col min="12076" max="12288" width="9.140625" style="374"/>
    <col min="12289" max="12289" width="23.42578125" style="374" customWidth="1"/>
    <col min="12290" max="12290" width="6" style="374" customWidth="1"/>
    <col min="12291" max="12293" width="5.28515625" style="374" customWidth="1"/>
    <col min="12294" max="12294" width="7.85546875" style="374" customWidth="1"/>
    <col min="12295" max="12295" width="8" style="374" customWidth="1"/>
    <col min="12296" max="12296" width="6.7109375" style="374" customWidth="1"/>
    <col min="12297" max="12297" width="7" style="374" customWidth="1"/>
    <col min="12298" max="12298" width="7.7109375" style="374" customWidth="1"/>
    <col min="12299" max="12299" width="7.140625" style="374" customWidth="1"/>
    <col min="12300" max="12300" width="7.7109375" style="374" customWidth="1"/>
    <col min="12301" max="12301" width="6.85546875" style="374" customWidth="1"/>
    <col min="12302" max="12302" width="8" style="374" customWidth="1"/>
    <col min="12303" max="12303" width="7.28515625" style="374" customWidth="1"/>
    <col min="12304" max="12304" width="6.42578125" style="374" customWidth="1"/>
    <col min="12305" max="12305" width="6" style="374" customWidth="1"/>
    <col min="12306" max="12307" width="5.28515625" style="374" customWidth="1"/>
    <col min="12308" max="12308" width="7.7109375" style="374" customWidth="1"/>
    <col min="12309" max="12309" width="5.28515625" style="374" customWidth="1"/>
    <col min="12310" max="12310" width="11.42578125" style="374" customWidth="1"/>
    <col min="12311" max="12311" width="8.42578125" style="374" customWidth="1"/>
    <col min="12312" max="12330" width="11.42578125" style="374" customWidth="1"/>
    <col min="12331" max="12331" width="8.85546875" style="374" customWidth="1"/>
    <col min="12332" max="12544" width="9.140625" style="374"/>
    <col min="12545" max="12545" width="23.42578125" style="374" customWidth="1"/>
    <col min="12546" max="12546" width="6" style="374" customWidth="1"/>
    <col min="12547" max="12549" width="5.28515625" style="374" customWidth="1"/>
    <col min="12550" max="12550" width="7.85546875" style="374" customWidth="1"/>
    <col min="12551" max="12551" width="8" style="374" customWidth="1"/>
    <col min="12552" max="12552" width="6.7109375" style="374" customWidth="1"/>
    <col min="12553" max="12553" width="7" style="374" customWidth="1"/>
    <col min="12554" max="12554" width="7.7109375" style="374" customWidth="1"/>
    <col min="12555" max="12555" width="7.140625" style="374" customWidth="1"/>
    <col min="12556" max="12556" width="7.7109375" style="374" customWidth="1"/>
    <col min="12557" max="12557" width="6.85546875" style="374" customWidth="1"/>
    <col min="12558" max="12558" width="8" style="374" customWidth="1"/>
    <col min="12559" max="12559" width="7.28515625" style="374" customWidth="1"/>
    <col min="12560" max="12560" width="6.42578125" style="374" customWidth="1"/>
    <col min="12561" max="12561" width="6" style="374" customWidth="1"/>
    <col min="12562" max="12563" width="5.28515625" style="374" customWidth="1"/>
    <col min="12564" max="12564" width="7.7109375" style="374" customWidth="1"/>
    <col min="12565" max="12565" width="5.28515625" style="374" customWidth="1"/>
    <col min="12566" max="12566" width="11.42578125" style="374" customWidth="1"/>
    <col min="12567" max="12567" width="8.42578125" style="374" customWidth="1"/>
    <col min="12568" max="12586" width="11.42578125" style="374" customWidth="1"/>
    <col min="12587" max="12587" width="8.85546875" style="374" customWidth="1"/>
    <col min="12588" max="12800" width="9.140625" style="374"/>
    <col min="12801" max="12801" width="23.42578125" style="374" customWidth="1"/>
    <col min="12802" max="12802" width="6" style="374" customWidth="1"/>
    <col min="12803" max="12805" width="5.28515625" style="374" customWidth="1"/>
    <col min="12806" max="12806" width="7.85546875" style="374" customWidth="1"/>
    <col min="12807" max="12807" width="8" style="374" customWidth="1"/>
    <col min="12808" max="12808" width="6.7109375" style="374" customWidth="1"/>
    <col min="12809" max="12809" width="7" style="374" customWidth="1"/>
    <col min="12810" max="12810" width="7.7109375" style="374" customWidth="1"/>
    <col min="12811" max="12811" width="7.140625" style="374" customWidth="1"/>
    <col min="12812" max="12812" width="7.7109375" style="374" customWidth="1"/>
    <col min="12813" max="12813" width="6.85546875" style="374" customWidth="1"/>
    <col min="12814" max="12814" width="8" style="374" customWidth="1"/>
    <col min="12815" max="12815" width="7.28515625" style="374" customWidth="1"/>
    <col min="12816" max="12816" width="6.42578125" style="374" customWidth="1"/>
    <col min="12817" max="12817" width="6" style="374" customWidth="1"/>
    <col min="12818" max="12819" width="5.28515625" style="374" customWidth="1"/>
    <col min="12820" max="12820" width="7.7109375" style="374" customWidth="1"/>
    <col min="12821" max="12821" width="5.28515625" style="374" customWidth="1"/>
    <col min="12822" max="12822" width="11.42578125" style="374" customWidth="1"/>
    <col min="12823" max="12823" width="8.42578125" style="374" customWidth="1"/>
    <col min="12824" max="12842" width="11.42578125" style="374" customWidth="1"/>
    <col min="12843" max="12843" width="8.85546875" style="374" customWidth="1"/>
    <col min="12844" max="13056" width="9.140625" style="374"/>
    <col min="13057" max="13057" width="23.42578125" style="374" customWidth="1"/>
    <col min="13058" max="13058" width="6" style="374" customWidth="1"/>
    <col min="13059" max="13061" width="5.28515625" style="374" customWidth="1"/>
    <col min="13062" max="13062" width="7.85546875" style="374" customWidth="1"/>
    <col min="13063" max="13063" width="8" style="374" customWidth="1"/>
    <col min="13064" max="13064" width="6.7109375" style="374" customWidth="1"/>
    <col min="13065" max="13065" width="7" style="374" customWidth="1"/>
    <col min="13066" max="13066" width="7.7109375" style="374" customWidth="1"/>
    <col min="13067" max="13067" width="7.140625" style="374" customWidth="1"/>
    <col min="13068" max="13068" width="7.7109375" style="374" customWidth="1"/>
    <col min="13069" max="13069" width="6.85546875" style="374" customWidth="1"/>
    <col min="13070" max="13070" width="8" style="374" customWidth="1"/>
    <col min="13071" max="13071" width="7.28515625" style="374" customWidth="1"/>
    <col min="13072" max="13072" width="6.42578125" style="374" customWidth="1"/>
    <col min="13073" max="13073" width="6" style="374" customWidth="1"/>
    <col min="13074" max="13075" width="5.28515625" style="374" customWidth="1"/>
    <col min="13076" max="13076" width="7.7109375" style="374" customWidth="1"/>
    <col min="13077" max="13077" width="5.28515625" style="374" customWidth="1"/>
    <col min="13078" max="13078" width="11.42578125" style="374" customWidth="1"/>
    <col min="13079" max="13079" width="8.42578125" style="374" customWidth="1"/>
    <col min="13080" max="13098" width="11.42578125" style="374" customWidth="1"/>
    <col min="13099" max="13099" width="8.85546875" style="374" customWidth="1"/>
    <col min="13100" max="13312" width="9.140625" style="374"/>
    <col min="13313" max="13313" width="23.42578125" style="374" customWidth="1"/>
    <col min="13314" max="13314" width="6" style="374" customWidth="1"/>
    <col min="13315" max="13317" width="5.28515625" style="374" customWidth="1"/>
    <col min="13318" max="13318" width="7.85546875" style="374" customWidth="1"/>
    <col min="13319" max="13319" width="8" style="374" customWidth="1"/>
    <col min="13320" max="13320" width="6.7109375" style="374" customWidth="1"/>
    <col min="13321" max="13321" width="7" style="374" customWidth="1"/>
    <col min="13322" max="13322" width="7.7109375" style="374" customWidth="1"/>
    <col min="13323" max="13323" width="7.140625" style="374" customWidth="1"/>
    <col min="13324" max="13324" width="7.7109375" style="374" customWidth="1"/>
    <col min="13325" max="13325" width="6.85546875" style="374" customWidth="1"/>
    <col min="13326" max="13326" width="8" style="374" customWidth="1"/>
    <col min="13327" max="13327" width="7.28515625" style="374" customWidth="1"/>
    <col min="13328" max="13328" width="6.42578125" style="374" customWidth="1"/>
    <col min="13329" max="13329" width="6" style="374" customWidth="1"/>
    <col min="13330" max="13331" width="5.28515625" style="374" customWidth="1"/>
    <col min="13332" max="13332" width="7.7109375" style="374" customWidth="1"/>
    <col min="13333" max="13333" width="5.28515625" style="374" customWidth="1"/>
    <col min="13334" max="13334" width="11.42578125" style="374" customWidth="1"/>
    <col min="13335" max="13335" width="8.42578125" style="374" customWidth="1"/>
    <col min="13336" max="13354" width="11.42578125" style="374" customWidth="1"/>
    <col min="13355" max="13355" width="8.85546875" style="374" customWidth="1"/>
    <col min="13356" max="13568" width="9.140625" style="374"/>
    <col min="13569" max="13569" width="23.42578125" style="374" customWidth="1"/>
    <col min="13570" max="13570" width="6" style="374" customWidth="1"/>
    <col min="13571" max="13573" width="5.28515625" style="374" customWidth="1"/>
    <col min="13574" max="13574" width="7.85546875" style="374" customWidth="1"/>
    <col min="13575" max="13575" width="8" style="374" customWidth="1"/>
    <col min="13576" max="13576" width="6.7109375" style="374" customWidth="1"/>
    <col min="13577" max="13577" width="7" style="374" customWidth="1"/>
    <col min="13578" max="13578" width="7.7109375" style="374" customWidth="1"/>
    <col min="13579" max="13579" width="7.140625" style="374" customWidth="1"/>
    <col min="13580" max="13580" width="7.7109375" style="374" customWidth="1"/>
    <col min="13581" max="13581" width="6.85546875" style="374" customWidth="1"/>
    <col min="13582" max="13582" width="8" style="374" customWidth="1"/>
    <col min="13583" max="13583" width="7.28515625" style="374" customWidth="1"/>
    <col min="13584" max="13584" width="6.42578125" style="374" customWidth="1"/>
    <col min="13585" max="13585" width="6" style="374" customWidth="1"/>
    <col min="13586" max="13587" width="5.28515625" style="374" customWidth="1"/>
    <col min="13588" max="13588" width="7.7109375" style="374" customWidth="1"/>
    <col min="13589" max="13589" width="5.28515625" style="374" customWidth="1"/>
    <col min="13590" max="13590" width="11.42578125" style="374" customWidth="1"/>
    <col min="13591" max="13591" width="8.42578125" style="374" customWidth="1"/>
    <col min="13592" max="13610" width="11.42578125" style="374" customWidth="1"/>
    <col min="13611" max="13611" width="8.85546875" style="374" customWidth="1"/>
    <col min="13612" max="13824" width="9.140625" style="374"/>
    <col min="13825" max="13825" width="23.42578125" style="374" customWidth="1"/>
    <col min="13826" max="13826" width="6" style="374" customWidth="1"/>
    <col min="13827" max="13829" width="5.28515625" style="374" customWidth="1"/>
    <col min="13830" max="13830" width="7.85546875" style="374" customWidth="1"/>
    <col min="13831" max="13831" width="8" style="374" customWidth="1"/>
    <col min="13832" max="13832" width="6.7109375" style="374" customWidth="1"/>
    <col min="13833" max="13833" width="7" style="374" customWidth="1"/>
    <col min="13834" max="13834" width="7.7109375" style="374" customWidth="1"/>
    <col min="13835" max="13835" width="7.140625" style="374" customWidth="1"/>
    <col min="13836" max="13836" width="7.7109375" style="374" customWidth="1"/>
    <col min="13837" max="13837" width="6.85546875" style="374" customWidth="1"/>
    <col min="13838" max="13838" width="8" style="374" customWidth="1"/>
    <col min="13839" max="13839" width="7.28515625" style="374" customWidth="1"/>
    <col min="13840" max="13840" width="6.42578125" style="374" customWidth="1"/>
    <col min="13841" max="13841" width="6" style="374" customWidth="1"/>
    <col min="13842" max="13843" width="5.28515625" style="374" customWidth="1"/>
    <col min="13844" max="13844" width="7.7109375" style="374" customWidth="1"/>
    <col min="13845" max="13845" width="5.28515625" style="374" customWidth="1"/>
    <col min="13846" max="13846" width="11.42578125" style="374" customWidth="1"/>
    <col min="13847" max="13847" width="8.42578125" style="374" customWidth="1"/>
    <col min="13848" max="13866" width="11.42578125" style="374" customWidth="1"/>
    <col min="13867" max="13867" width="8.85546875" style="374" customWidth="1"/>
    <col min="13868" max="14080" width="9.140625" style="374"/>
    <col min="14081" max="14081" width="23.42578125" style="374" customWidth="1"/>
    <col min="14082" max="14082" width="6" style="374" customWidth="1"/>
    <col min="14083" max="14085" width="5.28515625" style="374" customWidth="1"/>
    <col min="14086" max="14086" width="7.85546875" style="374" customWidth="1"/>
    <col min="14087" max="14087" width="8" style="374" customWidth="1"/>
    <col min="14088" max="14088" width="6.7109375" style="374" customWidth="1"/>
    <col min="14089" max="14089" width="7" style="374" customWidth="1"/>
    <col min="14090" max="14090" width="7.7109375" style="374" customWidth="1"/>
    <col min="14091" max="14091" width="7.140625" style="374" customWidth="1"/>
    <col min="14092" max="14092" width="7.7109375" style="374" customWidth="1"/>
    <col min="14093" max="14093" width="6.85546875" style="374" customWidth="1"/>
    <col min="14094" max="14094" width="8" style="374" customWidth="1"/>
    <col min="14095" max="14095" width="7.28515625" style="374" customWidth="1"/>
    <col min="14096" max="14096" width="6.42578125" style="374" customWidth="1"/>
    <col min="14097" max="14097" width="6" style="374" customWidth="1"/>
    <col min="14098" max="14099" width="5.28515625" style="374" customWidth="1"/>
    <col min="14100" max="14100" width="7.7109375" style="374" customWidth="1"/>
    <col min="14101" max="14101" width="5.28515625" style="374" customWidth="1"/>
    <col min="14102" max="14102" width="11.42578125" style="374" customWidth="1"/>
    <col min="14103" max="14103" width="8.42578125" style="374" customWidth="1"/>
    <col min="14104" max="14122" width="11.42578125" style="374" customWidth="1"/>
    <col min="14123" max="14123" width="8.85546875" style="374" customWidth="1"/>
    <col min="14124" max="14336" width="9.140625" style="374"/>
    <col min="14337" max="14337" width="23.42578125" style="374" customWidth="1"/>
    <col min="14338" max="14338" width="6" style="374" customWidth="1"/>
    <col min="14339" max="14341" width="5.28515625" style="374" customWidth="1"/>
    <col min="14342" max="14342" width="7.85546875" style="374" customWidth="1"/>
    <col min="14343" max="14343" width="8" style="374" customWidth="1"/>
    <col min="14344" max="14344" width="6.7109375" style="374" customWidth="1"/>
    <col min="14345" max="14345" width="7" style="374" customWidth="1"/>
    <col min="14346" max="14346" width="7.7109375" style="374" customWidth="1"/>
    <col min="14347" max="14347" width="7.140625" style="374" customWidth="1"/>
    <col min="14348" max="14348" width="7.7109375" style="374" customWidth="1"/>
    <col min="14349" max="14349" width="6.85546875" style="374" customWidth="1"/>
    <col min="14350" max="14350" width="8" style="374" customWidth="1"/>
    <col min="14351" max="14351" width="7.28515625" style="374" customWidth="1"/>
    <col min="14352" max="14352" width="6.42578125" style="374" customWidth="1"/>
    <col min="14353" max="14353" width="6" style="374" customWidth="1"/>
    <col min="14354" max="14355" width="5.28515625" style="374" customWidth="1"/>
    <col min="14356" max="14356" width="7.7109375" style="374" customWidth="1"/>
    <col min="14357" max="14357" width="5.28515625" style="374" customWidth="1"/>
    <col min="14358" max="14358" width="11.42578125" style="374" customWidth="1"/>
    <col min="14359" max="14359" width="8.42578125" style="374" customWidth="1"/>
    <col min="14360" max="14378" width="11.42578125" style="374" customWidth="1"/>
    <col min="14379" max="14379" width="8.85546875" style="374" customWidth="1"/>
    <col min="14380" max="14592" width="9.140625" style="374"/>
    <col min="14593" max="14593" width="23.42578125" style="374" customWidth="1"/>
    <col min="14594" max="14594" width="6" style="374" customWidth="1"/>
    <col min="14595" max="14597" width="5.28515625" style="374" customWidth="1"/>
    <col min="14598" max="14598" width="7.85546875" style="374" customWidth="1"/>
    <col min="14599" max="14599" width="8" style="374" customWidth="1"/>
    <col min="14600" max="14600" width="6.7109375" style="374" customWidth="1"/>
    <col min="14601" max="14601" width="7" style="374" customWidth="1"/>
    <col min="14602" max="14602" width="7.7109375" style="374" customWidth="1"/>
    <col min="14603" max="14603" width="7.140625" style="374" customWidth="1"/>
    <col min="14604" max="14604" width="7.7109375" style="374" customWidth="1"/>
    <col min="14605" max="14605" width="6.85546875" style="374" customWidth="1"/>
    <col min="14606" max="14606" width="8" style="374" customWidth="1"/>
    <col min="14607" max="14607" width="7.28515625" style="374" customWidth="1"/>
    <col min="14608" max="14608" width="6.42578125" style="374" customWidth="1"/>
    <col min="14609" max="14609" width="6" style="374" customWidth="1"/>
    <col min="14610" max="14611" width="5.28515625" style="374" customWidth="1"/>
    <col min="14612" max="14612" width="7.7109375" style="374" customWidth="1"/>
    <col min="14613" max="14613" width="5.28515625" style="374" customWidth="1"/>
    <col min="14614" max="14614" width="11.42578125" style="374" customWidth="1"/>
    <col min="14615" max="14615" width="8.42578125" style="374" customWidth="1"/>
    <col min="14616" max="14634" width="11.42578125" style="374" customWidth="1"/>
    <col min="14635" max="14635" width="8.85546875" style="374" customWidth="1"/>
    <col min="14636" max="14848" width="9.140625" style="374"/>
    <col min="14849" max="14849" width="23.42578125" style="374" customWidth="1"/>
    <col min="14850" max="14850" width="6" style="374" customWidth="1"/>
    <col min="14851" max="14853" width="5.28515625" style="374" customWidth="1"/>
    <col min="14854" max="14854" width="7.85546875" style="374" customWidth="1"/>
    <col min="14855" max="14855" width="8" style="374" customWidth="1"/>
    <col min="14856" max="14856" width="6.7109375" style="374" customWidth="1"/>
    <col min="14857" max="14857" width="7" style="374" customWidth="1"/>
    <col min="14858" max="14858" width="7.7109375" style="374" customWidth="1"/>
    <col min="14859" max="14859" width="7.140625" style="374" customWidth="1"/>
    <col min="14860" max="14860" width="7.7109375" style="374" customWidth="1"/>
    <col min="14861" max="14861" width="6.85546875" style="374" customWidth="1"/>
    <col min="14862" max="14862" width="8" style="374" customWidth="1"/>
    <col min="14863" max="14863" width="7.28515625" style="374" customWidth="1"/>
    <col min="14864" max="14864" width="6.42578125" style="374" customWidth="1"/>
    <col min="14865" max="14865" width="6" style="374" customWidth="1"/>
    <col min="14866" max="14867" width="5.28515625" style="374" customWidth="1"/>
    <col min="14868" max="14868" width="7.7109375" style="374" customWidth="1"/>
    <col min="14869" max="14869" width="5.28515625" style="374" customWidth="1"/>
    <col min="14870" max="14870" width="11.42578125" style="374" customWidth="1"/>
    <col min="14871" max="14871" width="8.42578125" style="374" customWidth="1"/>
    <col min="14872" max="14890" width="11.42578125" style="374" customWidth="1"/>
    <col min="14891" max="14891" width="8.85546875" style="374" customWidth="1"/>
    <col min="14892" max="15104" width="9.140625" style="374"/>
    <col min="15105" max="15105" width="23.42578125" style="374" customWidth="1"/>
    <col min="15106" max="15106" width="6" style="374" customWidth="1"/>
    <col min="15107" max="15109" width="5.28515625" style="374" customWidth="1"/>
    <col min="15110" max="15110" width="7.85546875" style="374" customWidth="1"/>
    <col min="15111" max="15111" width="8" style="374" customWidth="1"/>
    <col min="15112" max="15112" width="6.7109375" style="374" customWidth="1"/>
    <col min="15113" max="15113" width="7" style="374" customWidth="1"/>
    <col min="15114" max="15114" width="7.7109375" style="374" customWidth="1"/>
    <col min="15115" max="15115" width="7.140625" style="374" customWidth="1"/>
    <col min="15116" max="15116" width="7.7109375" style="374" customWidth="1"/>
    <col min="15117" max="15117" width="6.85546875" style="374" customWidth="1"/>
    <col min="15118" max="15118" width="8" style="374" customWidth="1"/>
    <col min="15119" max="15119" width="7.28515625" style="374" customWidth="1"/>
    <col min="15120" max="15120" width="6.42578125" style="374" customWidth="1"/>
    <col min="15121" max="15121" width="6" style="374" customWidth="1"/>
    <col min="15122" max="15123" width="5.28515625" style="374" customWidth="1"/>
    <col min="15124" max="15124" width="7.7109375" style="374" customWidth="1"/>
    <col min="15125" max="15125" width="5.28515625" style="374" customWidth="1"/>
    <col min="15126" max="15126" width="11.42578125" style="374" customWidth="1"/>
    <col min="15127" max="15127" width="8.42578125" style="374" customWidth="1"/>
    <col min="15128" max="15146" width="11.42578125" style="374" customWidth="1"/>
    <col min="15147" max="15147" width="8.85546875" style="374" customWidth="1"/>
    <col min="15148" max="15360" width="9.140625" style="374"/>
    <col min="15361" max="15361" width="23.42578125" style="374" customWidth="1"/>
    <col min="15362" max="15362" width="6" style="374" customWidth="1"/>
    <col min="15363" max="15365" width="5.28515625" style="374" customWidth="1"/>
    <col min="15366" max="15366" width="7.85546875" style="374" customWidth="1"/>
    <col min="15367" max="15367" width="8" style="374" customWidth="1"/>
    <col min="15368" max="15368" width="6.7109375" style="374" customWidth="1"/>
    <col min="15369" max="15369" width="7" style="374" customWidth="1"/>
    <col min="15370" max="15370" width="7.7109375" style="374" customWidth="1"/>
    <col min="15371" max="15371" width="7.140625" style="374" customWidth="1"/>
    <col min="15372" max="15372" width="7.7109375" style="374" customWidth="1"/>
    <col min="15373" max="15373" width="6.85546875" style="374" customWidth="1"/>
    <col min="15374" max="15374" width="8" style="374" customWidth="1"/>
    <col min="15375" max="15375" width="7.28515625" style="374" customWidth="1"/>
    <col min="15376" max="15376" width="6.42578125" style="374" customWidth="1"/>
    <col min="15377" max="15377" width="6" style="374" customWidth="1"/>
    <col min="15378" max="15379" width="5.28515625" style="374" customWidth="1"/>
    <col min="15380" max="15380" width="7.7109375" style="374" customWidth="1"/>
    <col min="15381" max="15381" width="5.28515625" style="374" customWidth="1"/>
    <col min="15382" max="15382" width="11.42578125" style="374" customWidth="1"/>
    <col min="15383" max="15383" width="8.42578125" style="374" customWidth="1"/>
    <col min="15384" max="15402" width="11.42578125" style="374" customWidth="1"/>
    <col min="15403" max="15403" width="8.85546875" style="374" customWidth="1"/>
    <col min="15404" max="15616" width="9.140625" style="374"/>
    <col min="15617" max="15617" width="23.42578125" style="374" customWidth="1"/>
    <col min="15618" max="15618" width="6" style="374" customWidth="1"/>
    <col min="15619" max="15621" width="5.28515625" style="374" customWidth="1"/>
    <col min="15622" max="15622" width="7.85546875" style="374" customWidth="1"/>
    <col min="15623" max="15623" width="8" style="374" customWidth="1"/>
    <col min="15624" max="15624" width="6.7109375" style="374" customWidth="1"/>
    <col min="15625" max="15625" width="7" style="374" customWidth="1"/>
    <col min="15626" max="15626" width="7.7109375" style="374" customWidth="1"/>
    <col min="15627" max="15627" width="7.140625" style="374" customWidth="1"/>
    <col min="15628" max="15628" width="7.7109375" style="374" customWidth="1"/>
    <col min="15629" max="15629" width="6.85546875" style="374" customWidth="1"/>
    <col min="15630" max="15630" width="8" style="374" customWidth="1"/>
    <col min="15631" max="15631" width="7.28515625" style="374" customWidth="1"/>
    <col min="15632" max="15632" width="6.42578125" style="374" customWidth="1"/>
    <col min="15633" max="15633" width="6" style="374" customWidth="1"/>
    <col min="15634" max="15635" width="5.28515625" style="374" customWidth="1"/>
    <col min="15636" max="15636" width="7.7109375" style="374" customWidth="1"/>
    <col min="15637" max="15637" width="5.28515625" style="374" customWidth="1"/>
    <col min="15638" max="15638" width="11.42578125" style="374" customWidth="1"/>
    <col min="15639" max="15639" width="8.42578125" style="374" customWidth="1"/>
    <col min="15640" max="15658" width="11.42578125" style="374" customWidth="1"/>
    <col min="15659" max="15659" width="8.85546875" style="374" customWidth="1"/>
    <col min="15660" max="15872" width="9.140625" style="374"/>
    <col min="15873" max="15873" width="23.42578125" style="374" customWidth="1"/>
    <col min="15874" max="15874" width="6" style="374" customWidth="1"/>
    <col min="15875" max="15877" width="5.28515625" style="374" customWidth="1"/>
    <col min="15878" max="15878" width="7.85546875" style="374" customWidth="1"/>
    <col min="15879" max="15879" width="8" style="374" customWidth="1"/>
    <col min="15880" max="15880" width="6.7109375" style="374" customWidth="1"/>
    <col min="15881" max="15881" width="7" style="374" customWidth="1"/>
    <col min="15882" max="15882" width="7.7109375" style="374" customWidth="1"/>
    <col min="15883" max="15883" width="7.140625" style="374" customWidth="1"/>
    <col min="15884" max="15884" width="7.7109375" style="374" customWidth="1"/>
    <col min="15885" max="15885" width="6.85546875" style="374" customWidth="1"/>
    <col min="15886" max="15886" width="8" style="374" customWidth="1"/>
    <col min="15887" max="15887" width="7.28515625" style="374" customWidth="1"/>
    <col min="15888" max="15888" width="6.42578125" style="374" customWidth="1"/>
    <col min="15889" max="15889" width="6" style="374" customWidth="1"/>
    <col min="15890" max="15891" width="5.28515625" style="374" customWidth="1"/>
    <col min="15892" max="15892" width="7.7109375" style="374" customWidth="1"/>
    <col min="15893" max="15893" width="5.28515625" style="374" customWidth="1"/>
    <col min="15894" max="15894" width="11.42578125" style="374" customWidth="1"/>
    <col min="15895" max="15895" width="8.42578125" style="374" customWidth="1"/>
    <col min="15896" max="15914" width="11.42578125" style="374" customWidth="1"/>
    <col min="15915" max="15915" width="8.85546875" style="374" customWidth="1"/>
    <col min="15916" max="16128" width="9.140625" style="374"/>
    <col min="16129" max="16129" width="23.42578125" style="374" customWidth="1"/>
    <col min="16130" max="16130" width="6" style="374" customWidth="1"/>
    <col min="16131" max="16133" width="5.28515625" style="374" customWidth="1"/>
    <col min="16134" max="16134" width="7.85546875" style="374" customWidth="1"/>
    <col min="16135" max="16135" width="8" style="374" customWidth="1"/>
    <col min="16136" max="16136" width="6.7109375" style="374" customWidth="1"/>
    <col min="16137" max="16137" width="7" style="374" customWidth="1"/>
    <col min="16138" max="16138" width="7.7109375" style="374" customWidth="1"/>
    <col min="16139" max="16139" width="7.140625" style="374" customWidth="1"/>
    <col min="16140" max="16140" width="7.7109375" style="374" customWidth="1"/>
    <col min="16141" max="16141" width="6.85546875" style="374" customWidth="1"/>
    <col min="16142" max="16142" width="8" style="374" customWidth="1"/>
    <col min="16143" max="16143" width="7.28515625" style="374" customWidth="1"/>
    <col min="16144" max="16144" width="6.42578125" style="374" customWidth="1"/>
    <col min="16145" max="16145" width="6" style="374" customWidth="1"/>
    <col min="16146" max="16147" width="5.28515625" style="374" customWidth="1"/>
    <col min="16148" max="16148" width="7.7109375" style="374" customWidth="1"/>
    <col min="16149" max="16149" width="5.28515625" style="374" customWidth="1"/>
    <col min="16150" max="16150" width="11.42578125" style="374" customWidth="1"/>
    <col min="16151" max="16151" width="8.42578125" style="374" customWidth="1"/>
    <col min="16152" max="16170" width="11.42578125" style="374" customWidth="1"/>
    <col min="16171" max="16171" width="8.85546875" style="374" customWidth="1"/>
    <col min="16172" max="16384" width="9.140625" style="374"/>
  </cols>
  <sheetData>
    <row r="1" spans="1:23" ht="13.5" customHeight="1">
      <c r="A1" s="1013" t="s">
        <v>491</v>
      </c>
      <c r="B1" s="1016" t="s">
        <v>492</v>
      </c>
      <c r="C1" s="1019" t="s">
        <v>493</v>
      </c>
      <c r="D1" s="1019" t="s">
        <v>494</v>
      </c>
      <c r="E1" s="1022" t="s">
        <v>495</v>
      </c>
      <c r="F1" s="1011" t="s">
        <v>496</v>
      </c>
      <c r="G1" s="1012"/>
      <c r="H1" s="1037" t="s">
        <v>497</v>
      </c>
      <c r="I1" s="1037"/>
      <c r="J1" s="1012" t="s">
        <v>498</v>
      </c>
      <c r="K1" s="1012"/>
      <c r="L1" s="1037" t="s">
        <v>499</v>
      </c>
      <c r="M1" s="1037"/>
      <c r="N1" s="1012" t="s">
        <v>500</v>
      </c>
      <c r="O1" s="1038"/>
      <c r="P1" s="1039" t="s">
        <v>501</v>
      </c>
      <c r="Q1" s="1041" t="s">
        <v>502</v>
      </c>
      <c r="R1" s="1016" t="s">
        <v>503</v>
      </c>
      <c r="S1" s="1019" t="s">
        <v>504</v>
      </c>
      <c r="T1" s="1050" t="s">
        <v>505</v>
      </c>
      <c r="U1" s="1053" t="s">
        <v>506</v>
      </c>
      <c r="V1" s="373"/>
      <c r="W1" s="1025" t="s">
        <v>507</v>
      </c>
    </row>
    <row r="2" spans="1:23" ht="12.75" customHeight="1">
      <c r="A2" s="1014"/>
      <c r="B2" s="1017"/>
      <c r="C2" s="1020"/>
      <c r="D2" s="1020"/>
      <c r="E2" s="1023"/>
      <c r="F2" s="1027" t="s">
        <v>508</v>
      </c>
      <c r="G2" s="1029" t="s">
        <v>509</v>
      </c>
      <c r="H2" s="1031" t="s">
        <v>508</v>
      </c>
      <c r="I2" s="1033" t="s">
        <v>509</v>
      </c>
      <c r="J2" s="1035" t="s">
        <v>508</v>
      </c>
      <c r="K2" s="1029" t="s">
        <v>509</v>
      </c>
      <c r="L2" s="1031" t="s">
        <v>508</v>
      </c>
      <c r="M2" s="1033" t="s">
        <v>509</v>
      </c>
      <c r="N2" s="1035" t="s">
        <v>508</v>
      </c>
      <c r="O2" s="1044" t="s">
        <v>509</v>
      </c>
      <c r="P2" s="1040"/>
      <c r="Q2" s="1042"/>
      <c r="R2" s="1046"/>
      <c r="S2" s="1048"/>
      <c r="T2" s="1051"/>
      <c r="U2" s="1054"/>
      <c r="V2" s="373"/>
      <c r="W2" s="1026"/>
    </row>
    <row r="3" spans="1:23">
      <c r="A3" s="1014"/>
      <c r="B3" s="1017"/>
      <c r="C3" s="1020"/>
      <c r="D3" s="1020"/>
      <c r="E3" s="1023"/>
      <c r="F3" s="1027"/>
      <c r="G3" s="1029"/>
      <c r="H3" s="1031"/>
      <c r="I3" s="1033"/>
      <c r="J3" s="1035"/>
      <c r="K3" s="1029"/>
      <c r="L3" s="1031"/>
      <c r="M3" s="1033"/>
      <c r="N3" s="1035"/>
      <c r="O3" s="1044"/>
      <c r="P3" s="1040"/>
      <c r="Q3" s="1042"/>
      <c r="R3" s="1046"/>
      <c r="S3" s="1048"/>
      <c r="T3" s="1051"/>
      <c r="U3" s="1054"/>
      <c r="V3" s="373"/>
      <c r="W3" s="1026"/>
    </row>
    <row r="4" spans="1:23">
      <c r="A4" s="1014"/>
      <c r="B4" s="1017"/>
      <c r="C4" s="1020"/>
      <c r="D4" s="1020"/>
      <c r="E4" s="1023"/>
      <c r="F4" s="1027"/>
      <c r="G4" s="1029"/>
      <c r="H4" s="1031"/>
      <c r="I4" s="1033"/>
      <c r="J4" s="1035"/>
      <c r="K4" s="1029"/>
      <c r="L4" s="1031"/>
      <c r="M4" s="1033"/>
      <c r="N4" s="1035"/>
      <c r="O4" s="1044"/>
      <c r="P4" s="1040"/>
      <c r="Q4" s="1042"/>
      <c r="R4" s="1046"/>
      <c r="S4" s="1048"/>
      <c r="T4" s="1051"/>
      <c r="U4" s="1054"/>
      <c r="V4" s="373"/>
      <c r="W4" s="1026"/>
    </row>
    <row r="5" spans="1:23">
      <c r="A5" s="1014"/>
      <c r="B5" s="1017"/>
      <c r="C5" s="1020"/>
      <c r="D5" s="1020"/>
      <c r="E5" s="1023"/>
      <c r="F5" s="1027"/>
      <c r="G5" s="1029"/>
      <c r="H5" s="1031"/>
      <c r="I5" s="1033"/>
      <c r="J5" s="1035"/>
      <c r="K5" s="1029"/>
      <c r="L5" s="1031"/>
      <c r="M5" s="1033"/>
      <c r="N5" s="1035"/>
      <c r="O5" s="1044"/>
      <c r="P5" s="1040"/>
      <c r="Q5" s="1042"/>
      <c r="R5" s="1046"/>
      <c r="S5" s="1048"/>
      <c r="T5" s="1051"/>
      <c r="U5" s="1054"/>
      <c r="V5" s="373"/>
      <c r="W5" s="1026"/>
    </row>
    <row r="6" spans="1:23">
      <c r="A6" s="1014"/>
      <c r="B6" s="1017"/>
      <c r="C6" s="1020"/>
      <c r="D6" s="1020"/>
      <c r="E6" s="1023"/>
      <c r="F6" s="1027"/>
      <c r="G6" s="1029"/>
      <c r="H6" s="1031"/>
      <c r="I6" s="1033"/>
      <c r="J6" s="1035"/>
      <c r="K6" s="1029"/>
      <c r="L6" s="1031"/>
      <c r="M6" s="1033"/>
      <c r="N6" s="1035"/>
      <c r="O6" s="1044"/>
      <c r="P6" s="1040"/>
      <c r="Q6" s="1042"/>
      <c r="R6" s="1046"/>
      <c r="S6" s="1048"/>
      <c r="T6" s="1051"/>
      <c r="U6" s="1054"/>
      <c r="V6" s="373"/>
      <c r="W6" s="1026"/>
    </row>
    <row r="7" spans="1:23">
      <c r="A7" s="1014"/>
      <c r="B7" s="1017"/>
      <c r="C7" s="1020"/>
      <c r="D7" s="1020"/>
      <c r="E7" s="1023"/>
      <c r="F7" s="1027"/>
      <c r="G7" s="1029"/>
      <c r="H7" s="1031"/>
      <c r="I7" s="1033"/>
      <c r="J7" s="1035"/>
      <c r="K7" s="1029"/>
      <c r="L7" s="1031"/>
      <c r="M7" s="1033"/>
      <c r="N7" s="1035"/>
      <c r="O7" s="1044"/>
      <c r="P7" s="1040"/>
      <c r="Q7" s="1042"/>
      <c r="R7" s="1046"/>
      <c r="S7" s="1048"/>
      <c r="T7" s="1051"/>
      <c r="U7" s="1054"/>
      <c r="V7" s="373"/>
      <c r="W7" s="1026"/>
    </row>
    <row r="8" spans="1:23" ht="13.5" thickBot="1">
      <c r="A8" s="1015"/>
      <c r="B8" s="1018"/>
      <c r="C8" s="1021"/>
      <c r="D8" s="1021"/>
      <c r="E8" s="1024"/>
      <c r="F8" s="1028"/>
      <c r="G8" s="1030"/>
      <c r="H8" s="1032"/>
      <c r="I8" s="1034"/>
      <c r="J8" s="1036"/>
      <c r="K8" s="1030"/>
      <c r="L8" s="1032"/>
      <c r="M8" s="1034"/>
      <c r="N8" s="1036"/>
      <c r="O8" s="1045"/>
      <c r="P8" s="1040"/>
      <c r="Q8" s="1043"/>
      <c r="R8" s="1047"/>
      <c r="S8" s="1049"/>
      <c r="T8" s="1052"/>
      <c r="U8" s="1055"/>
      <c r="V8" s="373"/>
      <c r="W8" s="1026"/>
    </row>
    <row r="9" spans="1:23">
      <c r="A9" s="375" t="s">
        <v>510</v>
      </c>
      <c r="B9" s="376">
        <v>1.2</v>
      </c>
      <c r="C9" s="377">
        <v>3.5</v>
      </c>
      <c r="D9" s="377">
        <v>0.32</v>
      </c>
      <c r="E9" s="378">
        <v>0.8</v>
      </c>
      <c r="F9" s="379"/>
      <c r="G9" s="380"/>
      <c r="H9" s="381"/>
      <c r="I9" s="382"/>
      <c r="J9" s="383"/>
      <c r="K9" s="380"/>
      <c r="L9" s="381">
        <v>0.3</v>
      </c>
      <c r="M9" s="382">
        <v>4000</v>
      </c>
      <c r="N9" s="383"/>
      <c r="O9" s="384"/>
      <c r="P9" s="385">
        <v>9000</v>
      </c>
      <c r="Q9" s="386">
        <v>0.08</v>
      </c>
      <c r="R9" s="387">
        <v>31</v>
      </c>
      <c r="S9" s="388">
        <v>21</v>
      </c>
      <c r="T9" s="389">
        <v>25</v>
      </c>
      <c r="U9" s="390">
        <v>6</v>
      </c>
      <c r="V9" s="373"/>
      <c r="W9" s="391" t="s">
        <v>511</v>
      </c>
    </row>
    <row r="10" spans="1:23">
      <c r="A10" s="392" t="s">
        <v>512</v>
      </c>
      <c r="B10" s="393">
        <v>3.2</v>
      </c>
      <c r="C10" s="391">
        <v>3.7</v>
      </c>
      <c r="D10" s="391">
        <v>0.8</v>
      </c>
      <c r="E10" s="394">
        <v>0.82</v>
      </c>
      <c r="F10" s="395"/>
      <c r="G10" s="396"/>
      <c r="H10" s="397"/>
      <c r="I10" s="398"/>
      <c r="J10" s="399"/>
      <c r="K10" s="396"/>
      <c r="L10" s="397">
        <v>0.72</v>
      </c>
      <c r="M10" s="398">
        <v>4500</v>
      </c>
      <c r="N10" s="399"/>
      <c r="O10" s="400"/>
      <c r="P10" s="401">
        <v>9000</v>
      </c>
      <c r="Q10" s="402">
        <v>0.14000000000000001</v>
      </c>
      <c r="R10" s="403">
        <v>37</v>
      </c>
      <c r="S10" s="404">
        <v>42</v>
      </c>
      <c r="T10" s="405">
        <v>59</v>
      </c>
      <c r="U10" s="406">
        <v>6</v>
      </c>
      <c r="V10" s="373"/>
      <c r="W10" s="391" t="s">
        <v>511</v>
      </c>
    </row>
    <row r="11" spans="1:23">
      <c r="A11" s="392" t="s">
        <v>513</v>
      </c>
      <c r="B11" s="393">
        <v>1.8</v>
      </c>
      <c r="C11" s="391">
        <v>4</v>
      </c>
      <c r="D11" s="391">
        <v>0.5</v>
      </c>
      <c r="E11" s="394">
        <v>1</v>
      </c>
      <c r="F11" s="395"/>
      <c r="G11" s="396"/>
      <c r="H11" s="397"/>
      <c r="I11" s="398"/>
      <c r="J11" s="399"/>
      <c r="K11" s="396"/>
      <c r="L11" s="397">
        <v>0.4</v>
      </c>
      <c r="M11" s="398">
        <v>6000</v>
      </c>
      <c r="N11" s="399"/>
      <c r="O11" s="400"/>
      <c r="P11" s="401">
        <v>9000</v>
      </c>
      <c r="Q11" s="402">
        <v>0.45</v>
      </c>
      <c r="R11" s="403">
        <v>36</v>
      </c>
      <c r="S11" s="404">
        <v>32</v>
      </c>
      <c r="T11" s="405">
        <v>30</v>
      </c>
      <c r="U11" s="406">
        <v>6</v>
      </c>
      <c r="V11" s="373"/>
      <c r="W11" s="391" t="s">
        <v>511</v>
      </c>
    </row>
    <row r="12" spans="1:23">
      <c r="A12" s="392" t="s">
        <v>514</v>
      </c>
      <c r="B12" s="393">
        <v>3.6</v>
      </c>
      <c r="C12" s="391">
        <v>6.5</v>
      </c>
      <c r="D12" s="391">
        <v>1</v>
      </c>
      <c r="E12" s="394">
        <v>1.6</v>
      </c>
      <c r="F12" s="395"/>
      <c r="G12" s="396"/>
      <c r="H12" s="397"/>
      <c r="I12" s="398"/>
      <c r="J12" s="399"/>
      <c r="K12" s="396"/>
      <c r="L12" s="397">
        <v>0.8</v>
      </c>
      <c r="M12" s="398">
        <v>6000</v>
      </c>
      <c r="N12" s="399"/>
      <c r="O12" s="400"/>
      <c r="P12" s="401">
        <v>9000</v>
      </c>
      <c r="Q12" s="402">
        <v>0.7</v>
      </c>
      <c r="R12" s="403">
        <v>12.8</v>
      </c>
      <c r="S12" s="404">
        <v>21</v>
      </c>
      <c r="T12" s="405">
        <v>38</v>
      </c>
      <c r="U12" s="406">
        <v>6</v>
      </c>
      <c r="V12" s="373"/>
      <c r="W12" s="391" t="s">
        <v>511</v>
      </c>
    </row>
    <row r="13" spans="1:23">
      <c r="A13" s="392" t="s">
        <v>515</v>
      </c>
      <c r="B13" s="393">
        <v>5.4</v>
      </c>
      <c r="C13" s="391">
        <v>6.4</v>
      </c>
      <c r="D13" s="391">
        <v>1.5</v>
      </c>
      <c r="E13" s="394">
        <v>1.6</v>
      </c>
      <c r="F13" s="395"/>
      <c r="G13" s="396"/>
      <c r="H13" s="397"/>
      <c r="I13" s="398"/>
      <c r="J13" s="399"/>
      <c r="K13" s="396"/>
      <c r="L13" s="397">
        <v>1.2</v>
      </c>
      <c r="M13" s="398">
        <v>4000</v>
      </c>
      <c r="N13" s="399"/>
      <c r="O13" s="400"/>
      <c r="P13" s="401">
        <v>9000</v>
      </c>
      <c r="Q13" s="402">
        <v>1</v>
      </c>
      <c r="R13" s="403">
        <v>15.5</v>
      </c>
      <c r="S13" s="404">
        <v>30</v>
      </c>
      <c r="T13" s="405">
        <v>58</v>
      </c>
      <c r="U13" s="406">
        <v>6</v>
      </c>
      <c r="V13" s="373"/>
      <c r="W13" s="391" t="s">
        <v>511</v>
      </c>
    </row>
    <row r="14" spans="1:23">
      <c r="A14" s="392" t="s">
        <v>516</v>
      </c>
      <c r="B14" s="393">
        <v>10.8</v>
      </c>
      <c r="C14" s="391">
        <v>15.2</v>
      </c>
      <c r="D14" s="391">
        <v>3</v>
      </c>
      <c r="E14" s="394">
        <v>3.8</v>
      </c>
      <c r="F14" s="395"/>
      <c r="G14" s="396"/>
      <c r="H14" s="397"/>
      <c r="I14" s="398"/>
      <c r="J14" s="399"/>
      <c r="K14" s="396"/>
      <c r="L14" s="397">
        <v>2</v>
      </c>
      <c r="M14" s="398">
        <v>6000</v>
      </c>
      <c r="N14" s="399"/>
      <c r="O14" s="400"/>
      <c r="P14" s="401">
        <v>9000</v>
      </c>
      <c r="Q14" s="402">
        <v>1.6</v>
      </c>
      <c r="R14" s="403">
        <v>3.65</v>
      </c>
      <c r="S14" s="404">
        <v>8</v>
      </c>
      <c r="T14" s="405">
        <v>48</v>
      </c>
      <c r="U14" s="406">
        <v>6</v>
      </c>
      <c r="V14" s="373"/>
      <c r="W14" s="391" t="s">
        <v>511</v>
      </c>
    </row>
    <row r="15" spans="1:23">
      <c r="A15" s="392" t="s">
        <v>517</v>
      </c>
      <c r="B15" s="393">
        <v>10.6</v>
      </c>
      <c r="C15" s="391">
        <v>9</v>
      </c>
      <c r="D15" s="391">
        <v>3</v>
      </c>
      <c r="E15" s="394">
        <v>2.2999999999999998</v>
      </c>
      <c r="F15" s="395"/>
      <c r="G15" s="396"/>
      <c r="H15" s="397"/>
      <c r="I15" s="398"/>
      <c r="J15" s="399"/>
      <c r="K15" s="396"/>
      <c r="L15" s="397">
        <v>2.2000000000000002</v>
      </c>
      <c r="M15" s="398">
        <v>3000</v>
      </c>
      <c r="N15" s="399"/>
      <c r="O15" s="400"/>
      <c r="P15" s="401">
        <v>6000</v>
      </c>
      <c r="Q15" s="402">
        <v>1.6</v>
      </c>
      <c r="R15" s="403">
        <v>11</v>
      </c>
      <c r="S15" s="404">
        <v>25</v>
      </c>
      <c r="T15" s="405">
        <v>81</v>
      </c>
      <c r="U15" s="406">
        <v>6</v>
      </c>
      <c r="V15" s="373"/>
      <c r="W15" s="391" t="s">
        <v>511</v>
      </c>
    </row>
    <row r="16" spans="1:23">
      <c r="A16" s="392" t="s">
        <v>518</v>
      </c>
      <c r="B16" s="393">
        <v>16.3</v>
      </c>
      <c r="C16" s="391">
        <v>11</v>
      </c>
      <c r="D16" s="391">
        <v>4.5999999999999996</v>
      </c>
      <c r="E16" s="394">
        <v>2.8</v>
      </c>
      <c r="F16" s="395"/>
      <c r="G16" s="396"/>
      <c r="H16" s="397"/>
      <c r="I16" s="398"/>
      <c r="J16" s="399"/>
      <c r="K16" s="396"/>
      <c r="L16" s="397">
        <v>3</v>
      </c>
      <c r="M16" s="398">
        <v>3000</v>
      </c>
      <c r="N16" s="399"/>
      <c r="O16" s="400"/>
      <c r="P16" s="401">
        <v>6000</v>
      </c>
      <c r="Q16" s="402">
        <v>3.1</v>
      </c>
      <c r="R16" s="403">
        <v>6.3</v>
      </c>
      <c r="S16" s="404">
        <v>35</v>
      </c>
      <c r="T16" s="405">
        <v>97</v>
      </c>
      <c r="U16" s="406">
        <v>6</v>
      </c>
      <c r="V16" s="373"/>
      <c r="W16" s="391" t="s">
        <v>511</v>
      </c>
    </row>
    <row r="17" spans="1:24">
      <c r="A17" s="392" t="s">
        <v>519</v>
      </c>
      <c r="B17" s="393">
        <v>28.5</v>
      </c>
      <c r="C17" s="391">
        <v>17</v>
      </c>
      <c r="D17" s="391">
        <v>8</v>
      </c>
      <c r="E17" s="394">
        <v>4.3</v>
      </c>
      <c r="F17" s="395"/>
      <c r="G17" s="396"/>
      <c r="H17" s="397"/>
      <c r="I17" s="398"/>
      <c r="J17" s="399"/>
      <c r="K17" s="396"/>
      <c r="L17" s="397">
        <v>6</v>
      </c>
      <c r="M17" s="398">
        <v>3000</v>
      </c>
      <c r="N17" s="399"/>
      <c r="O17" s="400"/>
      <c r="P17" s="401">
        <v>6000</v>
      </c>
      <c r="Q17" s="402">
        <v>4.5</v>
      </c>
      <c r="R17" s="403">
        <v>3.9</v>
      </c>
      <c r="S17" s="404">
        <v>24</v>
      </c>
      <c r="T17" s="405">
        <v>112</v>
      </c>
      <c r="U17" s="406">
        <v>6</v>
      </c>
      <c r="V17" s="373"/>
      <c r="W17" s="391" t="s">
        <v>511</v>
      </c>
    </row>
    <row r="18" spans="1:24">
      <c r="A18" s="392" t="s">
        <v>520</v>
      </c>
      <c r="B18" s="393">
        <v>39.6</v>
      </c>
      <c r="C18" s="391">
        <v>24</v>
      </c>
      <c r="D18" s="391">
        <v>11</v>
      </c>
      <c r="E18" s="394">
        <v>6</v>
      </c>
      <c r="F18" s="395"/>
      <c r="G18" s="396"/>
      <c r="H18" s="397"/>
      <c r="I18" s="398"/>
      <c r="J18" s="399"/>
      <c r="K18" s="396"/>
      <c r="L18" s="397">
        <v>8.5</v>
      </c>
      <c r="M18" s="398">
        <v>3000</v>
      </c>
      <c r="N18" s="399"/>
      <c r="O18" s="400"/>
      <c r="P18" s="401">
        <v>6000</v>
      </c>
      <c r="Q18" s="402">
        <v>12</v>
      </c>
      <c r="R18" s="403">
        <v>2.2000000000000002</v>
      </c>
      <c r="S18" s="404">
        <v>18</v>
      </c>
      <c r="T18" s="405">
        <v>112</v>
      </c>
      <c r="U18" s="406">
        <v>6</v>
      </c>
      <c r="V18" s="373"/>
      <c r="W18" s="391" t="s">
        <v>511</v>
      </c>
    </row>
    <row r="19" spans="1:24">
      <c r="A19" s="392" t="s">
        <v>521</v>
      </c>
      <c r="B19" s="393">
        <v>61.2</v>
      </c>
      <c r="C19" s="391">
        <v>40</v>
      </c>
      <c r="D19" s="391">
        <v>17</v>
      </c>
      <c r="E19" s="394">
        <v>10</v>
      </c>
      <c r="F19" s="395"/>
      <c r="G19" s="396"/>
      <c r="H19" s="397"/>
      <c r="I19" s="398"/>
      <c r="J19" s="399"/>
      <c r="K19" s="396"/>
      <c r="L19" s="397">
        <v>12</v>
      </c>
      <c r="M19" s="398">
        <v>3000</v>
      </c>
      <c r="N19" s="399"/>
      <c r="O19" s="400"/>
      <c r="P19" s="401">
        <v>6000</v>
      </c>
      <c r="Q19" s="402">
        <v>18</v>
      </c>
      <c r="R19" s="403">
        <v>1.1000000000000001</v>
      </c>
      <c r="S19" s="404">
        <v>8.3000000000000007</v>
      </c>
      <c r="T19" s="405">
        <v>103</v>
      </c>
      <c r="U19" s="406">
        <v>6</v>
      </c>
      <c r="V19" s="373"/>
      <c r="W19" s="391" t="s">
        <v>511</v>
      </c>
    </row>
    <row r="20" spans="1:24">
      <c r="A20" s="392" t="s">
        <v>522</v>
      </c>
      <c r="B20" s="393">
        <v>100.2</v>
      </c>
      <c r="C20" s="391">
        <v>70</v>
      </c>
      <c r="D20" s="391">
        <v>26</v>
      </c>
      <c r="E20" s="394">
        <v>16</v>
      </c>
      <c r="F20" s="395"/>
      <c r="G20" s="396"/>
      <c r="H20" s="397"/>
      <c r="I20" s="398"/>
      <c r="J20" s="399"/>
      <c r="K20" s="396"/>
      <c r="L20" s="397">
        <v>20</v>
      </c>
      <c r="M20" s="398">
        <v>3000</v>
      </c>
      <c r="N20" s="399"/>
      <c r="O20" s="400"/>
      <c r="P20" s="401">
        <v>6000</v>
      </c>
      <c r="Q20" s="402">
        <v>82</v>
      </c>
      <c r="R20" s="403">
        <v>0.45</v>
      </c>
      <c r="S20" s="404">
        <v>4.4000000000000004</v>
      </c>
      <c r="T20" s="405">
        <v>97</v>
      </c>
      <c r="U20" s="406">
        <v>6</v>
      </c>
      <c r="V20" s="373"/>
      <c r="W20" s="391" t="s">
        <v>511</v>
      </c>
    </row>
    <row r="21" spans="1:24">
      <c r="A21" s="392" t="s">
        <v>523</v>
      </c>
      <c r="B21" s="393">
        <v>120.7</v>
      </c>
      <c r="C21" s="391">
        <v>85</v>
      </c>
      <c r="D21" s="391">
        <v>32</v>
      </c>
      <c r="E21" s="394">
        <v>20</v>
      </c>
      <c r="F21" s="395"/>
      <c r="G21" s="396"/>
      <c r="H21" s="397"/>
      <c r="I21" s="398"/>
      <c r="J21" s="399"/>
      <c r="K21" s="396"/>
      <c r="L21" s="397">
        <v>23</v>
      </c>
      <c r="M21" s="398">
        <v>3000</v>
      </c>
      <c r="N21" s="399"/>
      <c r="O21" s="400"/>
      <c r="P21" s="401">
        <v>6000</v>
      </c>
      <c r="Q21" s="402">
        <v>104</v>
      </c>
      <c r="R21" s="403">
        <v>0.37</v>
      </c>
      <c r="S21" s="404">
        <v>3.6</v>
      </c>
      <c r="T21" s="405">
        <v>97</v>
      </c>
      <c r="U21" s="406">
        <v>6</v>
      </c>
      <c r="V21" s="373"/>
      <c r="W21" s="391" t="s">
        <v>511</v>
      </c>
    </row>
    <row r="22" spans="1:24">
      <c r="A22" s="392" t="s">
        <v>524</v>
      </c>
      <c r="B22" s="393">
        <v>2.8</v>
      </c>
      <c r="C22" s="391">
        <v>4.7</v>
      </c>
      <c r="D22" s="391">
        <v>0.85</v>
      </c>
      <c r="E22" s="394">
        <v>1.3</v>
      </c>
      <c r="F22" s="395"/>
      <c r="G22" s="396"/>
      <c r="H22" s="397"/>
      <c r="I22" s="398"/>
      <c r="J22" s="399"/>
      <c r="K22" s="396"/>
      <c r="L22" s="397">
        <v>0.8</v>
      </c>
      <c r="M22" s="398">
        <v>3000</v>
      </c>
      <c r="N22" s="399"/>
      <c r="O22" s="400"/>
      <c r="P22" s="401">
        <v>8000</v>
      </c>
      <c r="Q22" s="402">
        <v>1.5</v>
      </c>
      <c r="R22" s="403">
        <v>25.4</v>
      </c>
      <c r="S22" s="404">
        <v>54</v>
      </c>
      <c r="T22" s="405">
        <v>41.012193308819754</v>
      </c>
      <c r="U22" s="406">
        <v>6</v>
      </c>
      <c r="V22" s="373"/>
      <c r="W22" s="391" t="s">
        <v>511</v>
      </c>
    </row>
    <row r="23" spans="1:24">
      <c r="A23" s="392" t="s">
        <v>525</v>
      </c>
      <c r="B23" s="393">
        <v>6.5</v>
      </c>
      <c r="C23" s="391">
        <v>5.6</v>
      </c>
      <c r="D23" s="391">
        <v>1.7</v>
      </c>
      <c r="E23" s="394">
        <v>1.3</v>
      </c>
      <c r="F23" s="395"/>
      <c r="G23" s="396"/>
      <c r="H23" s="397"/>
      <c r="I23" s="398"/>
      <c r="J23" s="399"/>
      <c r="K23" s="396"/>
      <c r="L23" s="397">
        <v>1.6</v>
      </c>
      <c r="M23" s="398">
        <v>3000</v>
      </c>
      <c r="N23" s="399"/>
      <c r="O23" s="400"/>
      <c r="P23" s="401">
        <v>8000</v>
      </c>
      <c r="Q23" s="402">
        <v>2.1</v>
      </c>
      <c r="R23" s="403">
        <v>34</v>
      </c>
      <c r="S23" s="404">
        <v>99</v>
      </c>
      <c r="T23" s="405">
        <v>82.024386617639507</v>
      </c>
      <c r="U23" s="406">
        <v>6</v>
      </c>
      <c r="V23" s="373"/>
      <c r="W23" s="391" t="s">
        <v>511</v>
      </c>
      <c r="X23" s="407"/>
    </row>
    <row r="24" spans="1:24">
      <c r="A24" s="392" t="s">
        <v>526</v>
      </c>
      <c r="B24" s="393">
        <v>11.5</v>
      </c>
      <c r="C24" s="391">
        <v>9.6</v>
      </c>
      <c r="D24" s="391">
        <v>3.2</v>
      </c>
      <c r="E24" s="394">
        <v>2.4</v>
      </c>
      <c r="F24" s="395"/>
      <c r="G24" s="396"/>
      <c r="H24" s="397"/>
      <c r="I24" s="398"/>
      <c r="J24" s="399"/>
      <c r="K24" s="396"/>
      <c r="L24" s="397">
        <v>2.9</v>
      </c>
      <c r="M24" s="398">
        <v>3000</v>
      </c>
      <c r="N24" s="399"/>
      <c r="O24" s="400"/>
      <c r="P24" s="401">
        <v>8000</v>
      </c>
      <c r="Q24" s="402">
        <v>3.4</v>
      </c>
      <c r="R24" s="403">
        <v>11.9</v>
      </c>
      <c r="S24" s="404">
        <v>47</v>
      </c>
      <c r="T24" s="405">
        <v>82.024386617639507</v>
      </c>
      <c r="U24" s="406">
        <v>6</v>
      </c>
      <c r="V24" s="373"/>
      <c r="W24" s="391" t="s">
        <v>511</v>
      </c>
    </row>
    <row r="25" spans="1:24">
      <c r="A25" s="392" t="s">
        <v>527</v>
      </c>
      <c r="B25" s="393">
        <v>14.8</v>
      </c>
      <c r="C25" s="391">
        <v>12.4</v>
      </c>
      <c r="D25" s="391">
        <v>3.8</v>
      </c>
      <c r="E25" s="394">
        <v>2.8</v>
      </c>
      <c r="F25" s="395"/>
      <c r="G25" s="396"/>
      <c r="H25" s="397"/>
      <c r="I25" s="398"/>
      <c r="J25" s="399"/>
      <c r="K25" s="396"/>
      <c r="L25" s="397">
        <v>3.6</v>
      </c>
      <c r="M25" s="398">
        <v>3000</v>
      </c>
      <c r="N25" s="399"/>
      <c r="O25" s="400"/>
      <c r="P25" s="401">
        <v>8000</v>
      </c>
      <c r="Q25" s="402">
        <v>5.2</v>
      </c>
      <c r="R25" s="403">
        <v>9.4</v>
      </c>
      <c r="S25" s="404">
        <v>54</v>
      </c>
      <c r="T25" s="405">
        <v>80.610173055266415</v>
      </c>
      <c r="U25" s="406">
        <v>6</v>
      </c>
      <c r="V25" s="373"/>
      <c r="W25" s="391" t="s">
        <v>511</v>
      </c>
    </row>
    <row r="26" spans="1:24">
      <c r="A26" s="392" t="s">
        <v>528</v>
      </c>
      <c r="B26" s="393">
        <v>25.6</v>
      </c>
      <c r="C26" s="391">
        <v>19.600000000000001</v>
      </c>
      <c r="D26" s="391">
        <v>7</v>
      </c>
      <c r="E26" s="394">
        <v>4.8</v>
      </c>
      <c r="F26" s="395"/>
      <c r="G26" s="396"/>
      <c r="H26" s="397"/>
      <c r="I26" s="398"/>
      <c r="J26" s="399"/>
      <c r="K26" s="396"/>
      <c r="L26" s="397">
        <v>6.4</v>
      </c>
      <c r="M26" s="398">
        <v>3000</v>
      </c>
      <c r="N26" s="399"/>
      <c r="O26" s="400"/>
      <c r="P26" s="401">
        <v>8000</v>
      </c>
      <c r="Q26" s="402">
        <v>10</v>
      </c>
      <c r="R26" s="403">
        <v>4</v>
      </c>
      <c r="S26" s="404">
        <v>30</v>
      </c>
      <c r="T26" s="405">
        <v>87.681240867131891</v>
      </c>
      <c r="U26" s="406">
        <v>6</v>
      </c>
      <c r="V26" s="373"/>
      <c r="W26" s="391" t="s">
        <v>511</v>
      </c>
    </row>
    <row r="27" spans="1:24">
      <c r="A27" s="392" t="s">
        <v>529</v>
      </c>
      <c r="B27" s="393">
        <v>34</v>
      </c>
      <c r="C27" s="391">
        <v>28.3</v>
      </c>
      <c r="D27" s="391">
        <v>10</v>
      </c>
      <c r="E27" s="394">
        <v>7.6</v>
      </c>
      <c r="F27" s="395"/>
      <c r="G27" s="396"/>
      <c r="H27" s="397"/>
      <c r="I27" s="398"/>
      <c r="J27" s="399"/>
      <c r="K27" s="396"/>
      <c r="L27" s="397">
        <v>8.4</v>
      </c>
      <c r="M27" s="398">
        <v>3000</v>
      </c>
      <c r="N27" s="399"/>
      <c r="O27" s="400"/>
      <c r="P27" s="401">
        <v>8000</v>
      </c>
      <c r="Q27" s="402">
        <v>15</v>
      </c>
      <c r="R27" s="403">
        <v>1.8</v>
      </c>
      <c r="S27" s="404">
        <v>15.8</v>
      </c>
      <c r="T27" s="405">
        <v>79.903066274079862</v>
      </c>
      <c r="U27" s="406">
        <v>6</v>
      </c>
      <c r="V27" s="373"/>
      <c r="W27" s="391" t="s">
        <v>511</v>
      </c>
    </row>
    <row r="28" spans="1:24">
      <c r="A28" s="392" t="s">
        <v>530</v>
      </c>
      <c r="B28" s="393">
        <v>37.799999999999997</v>
      </c>
      <c r="C28" s="391">
        <v>32</v>
      </c>
      <c r="D28" s="391">
        <v>10.5</v>
      </c>
      <c r="E28" s="394">
        <v>8</v>
      </c>
      <c r="F28" s="395"/>
      <c r="G28" s="396"/>
      <c r="H28" s="397"/>
      <c r="I28" s="398"/>
      <c r="J28" s="399"/>
      <c r="K28" s="396"/>
      <c r="L28" s="397">
        <v>9.5</v>
      </c>
      <c r="M28" s="398">
        <v>3000</v>
      </c>
      <c r="N28" s="399"/>
      <c r="O28" s="400"/>
      <c r="P28" s="401">
        <v>6000</v>
      </c>
      <c r="Q28" s="402">
        <v>20</v>
      </c>
      <c r="R28" s="403">
        <v>1.65</v>
      </c>
      <c r="S28" s="404">
        <v>19.600000000000001</v>
      </c>
      <c r="T28" s="405">
        <v>79.195959492893323</v>
      </c>
      <c r="U28" s="406">
        <v>6</v>
      </c>
      <c r="V28" s="373"/>
      <c r="W28" s="391" t="s">
        <v>511</v>
      </c>
    </row>
    <row r="29" spans="1:24">
      <c r="A29" s="392" t="s">
        <v>531</v>
      </c>
      <c r="B29" s="393">
        <v>54.4</v>
      </c>
      <c r="C29" s="391">
        <v>44</v>
      </c>
      <c r="D29" s="391">
        <v>16.5</v>
      </c>
      <c r="E29" s="394">
        <v>12.3</v>
      </c>
      <c r="F29" s="395"/>
      <c r="G29" s="396"/>
      <c r="H29" s="397"/>
      <c r="I29" s="398"/>
      <c r="J29" s="399"/>
      <c r="K29" s="396"/>
      <c r="L29" s="397">
        <v>13.4</v>
      </c>
      <c r="M29" s="398">
        <v>3000</v>
      </c>
      <c r="N29" s="399"/>
      <c r="O29" s="400"/>
      <c r="P29" s="401">
        <v>6000</v>
      </c>
      <c r="Q29" s="402">
        <v>31</v>
      </c>
      <c r="R29" s="403">
        <v>0.8</v>
      </c>
      <c r="S29" s="404">
        <v>12</v>
      </c>
      <c r="T29" s="405">
        <v>81.317279836452954</v>
      </c>
      <c r="U29" s="406">
        <v>6</v>
      </c>
      <c r="V29" s="373"/>
      <c r="W29" s="391" t="s">
        <v>511</v>
      </c>
    </row>
    <row r="30" spans="1:24">
      <c r="A30" s="392" t="s">
        <v>532</v>
      </c>
      <c r="B30" s="393">
        <v>67.400000000000006</v>
      </c>
      <c r="C30" s="391">
        <v>51</v>
      </c>
      <c r="D30" s="391">
        <v>22</v>
      </c>
      <c r="E30" s="394">
        <v>15.6</v>
      </c>
      <c r="F30" s="395"/>
      <c r="G30" s="396"/>
      <c r="H30" s="397"/>
      <c r="I30" s="398"/>
      <c r="J30" s="399"/>
      <c r="K30" s="396"/>
      <c r="L30" s="397">
        <v>16.3</v>
      </c>
      <c r="M30" s="398">
        <v>3000</v>
      </c>
      <c r="N30" s="399"/>
      <c r="O30" s="400"/>
      <c r="P30" s="401">
        <v>6000</v>
      </c>
      <c r="Q30" s="402">
        <v>42</v>
      </c>
      <c r="R30" s="403">
        <v>0.56999999999999995</v>
      </c>
      <c r="S30" s="404">
        <v>9</v>
      </c>
      <c r="T30" s="405">
        <v>85.559920523572245</v>
      </c>
      <c r="U30" s="406">
        <v>6</v>
      </c>
      <c r="V30" s="373"/>
      <c r="W30" s="391" t="s">
        <v>511</v>
      </c>
    </row>
    <row r="31" spans="1:24">
      <c r="A31" s="392" t="s">
        <v>533</v>
      </c>
      <c r="B31" s="393">
        <v>87</v>
      </c>
      <c r="C31" s="391">
        <v>72</v>
      </c>
      <c r="D31" s="391">
        <v>25</v>
      </c>
      <c r="E31" s="394">
        <v>18.8</v>
      </c>
      <c r="F31" s="395"/>
      <c r="G31" s="396"/>
      <c r="H31" s="397"/>
      <c r="I31" s="398"/>
      <c r="J31" s="399"/>
      <c r="K31" s="396"/>
      <c r="L31" s="397">
        <v>19.899999999999999</v>
      </c>
      <c r="M31" s="398">
        <v>3000</v>
      </c>
      <c r="N31" s="399"/>
      <c r="O31" s="400"/>
      <c r="P31" s="401">
        <v>6000</v>
      </c>
      <c r="Q31" s="402">
        <v>74</v>
      </c>
      <c r="R31" s="403">
        <v>0.46</v>
      </c>
      <c r="S31" s="404">
        <v>10.5</v>
      </c>
      <c r="T31" s="405">
        <v>80.610173055266415</v>
      </c>
      <c r="U31" s="406">
        <v>6</v>
      </c>
      <c r="V31" s="373"/>
      <c r="W31" s="391" t="s">
        <v>511</v>
      </c>
    </row>
    <row r="32" spans="1:24">
      <c r="A32" s="392" t="s">
        <v>534</v>
      </c>
      <c r="B32" s="393">
        <v>135.4</v>
      </c>
      <c r="C32" s="391">
        <v>113</v>
      </c>
      <c r="D32" s="391">
        <v>36</v>
      </c>
      <c r="E32" s="394">
        <v>26.7</v>
      </c>
      <c r="F32" s="395"/>
      <c r="G32" s="396"/>
      <c r="H32" s="397"/>
      <c r="I32" s="398"/>
      <c r="J32" s="399"/>
      <c r="K32" s="396"/>
      <c r="L32" s="397">
        <v>24.6</v>
      </c>
      <c r="M32" s="398">
        <v>3000</v>
      </c>
      <c r="N32" s="399"/>
      <c r="O32" s="400"/>
      <c r="P32" s="401">
        <v>6000</v>
      </c>
      <c r="Q32" s="402">
        <v>108</v>
      </c>
      <c r="R32" s="403">
        <v>0.22</v>
      </c>
      <c r="S32" s="404">
        <v>7</v>
      </c>
      <c r="T32" s="405">
        <v>82.024386617639507</v>
      </c>
      <c r="U32" s="406">
        <v>6</v>
      </c>
      <c r="V32" s="373"/>
      <c r="W32" s="391" t="s">
        <v>511</v>
      </c>
    </row>
    <row r="33" spans="1:23">
      <c r="A33" s="392" t="s">
        <v>535</v>
      </c>
      <c r="B33" s="393">
        <v>174.6</v>
      </c>
      <c r="C33" s="391">
        <v>150</v>
      </c>
      <c r="D33" s="391">
        <v>46</v>
      </c>
      <c r="E33" s="394">
        <v>35</v>
      </c>
      <c r="F33" s="395"/>
      <c r="G33" s="396"/>
      <c r="H33" s="397"/>
      <c r="I33" s="398"/>
      <c r="J33" s="399"/>
      <c r="K33" s="396"/>
      <c r="L33" s="397">
        <v>27.1</v>
      </c>
      <c r="M33" s="398">
        <v>3000</v>
      </c>
      <c r="N33" s="399"/>
      <c r="O33" s="400"/>
      <c r="P33" s="401">
        <v>6000</v>
      </c>
      <c r="Q33" s="402">
        <v>141</v>
      </c>
      <c r="R33" s="403">
        <v>0.16</v>
      </c>
      <c r="S33" s="404">
        <v>5</v>
      </c>
      <c r="T33" s="405">
        <v>79.903066274079862</v>
      </c>
      <c r="U33" s="406">
        <v>6</v>
      </c>
      <c r="V33" s="373"/>
      <c r="W33" s="391" t="s">
        <v>511</v>
      </c>
    </row>
    <row r="34" spans="1:23" ht="13.5" thickBot="1">
      <c r="A34" s="408" t="s">
        <v>536</v>
      </c>
      <c r="B34" s="409">
        <v>216.4</v>
      </c>
      <c r="C34" s="410">
        <v>180</v>
      </c>
      <c r="D34" s="410">
        <v>57</v>
      </c>
      <c r="E34" s="411">
        <v>42</v>
      </c>
      <c r="F34" s="412"/>
      <c r="G34" s="413"/>
      <c r="H34" s="414"/>
      <c r="I34" s="415"/>
      <c r="J34" s="416"/>
      <c r="K34" s="413"/>
      <c r="L34" s="414">
        <v>28</v>
      </c>
      <c r="M34" s="415">
        <v>3000</v>
      </c>
      <c r="N34" s="416"/>
      <c r="O34" s="417"/>
      <c r="P34" s="418">
        <v>6000</v>
      </c>
      <c r="Q34" s="419">
        <v>175</v>
      </c>
      <c r="R34" s="420">
        <v>0.12</v>
      </c>
      <c r="S34" s="421">
        <v>4</v>
      </c>
      <c r="T34" s="422">
        <v>81.317279836452954</v>
      </c>
      <c r="U34" s="423">
        <v>6</v>
      </c>
      <c r="V34" s="373"/>
      <c r="W34" s="391" t="s">
        <v>511</v>
      </c>
    </row>
    <row r="35" spans="1:23">
      <c r="A35" s="424" t="s">
        <v>81</v>
      </c>
      <c r="B35" s="425">
        <v>0.61</v>
      </c>
      <c r="C35" s="425">
        <v>4.5999999999999996</v>
      </c>
      <c r="D35" s="426">
        <v>0.18</v>
      </c>
      <c r="E35" s="427">
        <v>1.1599999999999999</v>
      </c>
      <c r="F35" s="395"/>
      <c r="G35" s="396"/>
      <c r="H35" s="397">
        <v>0.18</v>
      </c>
      <c r="I35" s="398">
        <v>4000</v>
      </c>
      <c r="J35" s="399">
        <v>0.17</v>
      </c>
      <c r="K35" s="396">
        <v>8000</v>
      </c>
      <c r="L35" s="397"/>
      <c r="M35" s="398"/>
      <c r="N35" s="399"/>
      <c r="O35" s="400"/>
      <c r="P35" s="428">
        <v>8000</v>
      </c>
      <c r="Q35" s="429">
        <v>1.6999999999999998E-2</v>
      </c>
      <c r="R35" s="430">
        <v>20.2</v>
      </c>
      <c r="S35" s="431">
        <v>12.5</v>
      </c>
      <c r="T35" s="432">
        <v>10.199999999999999</v>
      </c>
      <c r="U35" s="433">
        <v>6</v>
      </c>
      <c r="V35" s="373"/>
      <c r="W35" s="391" t="s">
        <v>537</v>
      </c>
    </row>
    <row r="36" spans="1:23">
      <c r="A36" s="392" t="s">
        <v>341</v>
      </c>
      <c r="B36" s="425">
        <v>0.61</v>
      </c>
      <c r="C36" s="425">
        <v>5.8</v>
      </c>
      <c r="D36" s="391">
        <v>0.19</v>
      </c>
      <c r="E36" s="394">
        <v>1.45</v>
      </c>
      <c r="F36" s="434"/>
      <c r="G36" s="435"/>
      <c r="H36" s="436">
        <v>0.18</v>
      </c>
      <c r="I36" s="437">
        <v>6000</v>
      </c>
      <c r="J36" s="438"/>
      <c r="K36" s="435"/>
      <c r="L36" s="436"/>
      <c r="M36" s="437"/>
      <c r="N36" s="438"/>
      <c r="O36" s="439"/>
      <c r="P36" s="401">
        <v>8000</v>
      </c>
      <c r="Q36" s="402">
        <v>1.6999999999999998E-2</v>
      </c>
      <c r="R36" s="403">
        <v>13.1</v>
      </c>
      <c r="S36" s="404">
        <v>8.3000000000000007</v>
      </c>
      <c r="T36" s="405">
        <v>8.3000000000000007</v>
      </c>
      <c r="U36" s="406">
        <v>6</v>
      </c>
      <c r="V36" s="373"/>
      <c r="W36" s="391" t="s">
        <v>537</v>
      </c>
    </row>
    <row r="37" spans="1:23">
      <c r="A37" s="392" t="s">
        <v>538</v>
      </c>
      <c r="B37" s="425">
        <v>0.61</v>
      </c>
      <c r="C37" s="425">
        <v>11.6</v>
      </c>
      <c r="D37" s="391">
        <v>0.19</v>
      </c>
      <c r="E37" s="394">
        <v>2.91</v>
      </c>
      <c r="F37" s="434">
        <v>0.18</v>
      </c>
      <c r="G37" s="435">
        <v>6000</v>
      </c>
      <c r="H37" s="436"/>
      <c r="I37" s="437"/>
      <c r="J37" s="438"/>
      <c r="K37" s="435"/>
      <c r="L37" s="436"/>
      <c r="M37" s="437"/>
      <c r="N37" s="438"/>
      <c r="O37" s="439"/>
      <c r="P37" s="401">
        <v>8000</v>
      </c>
      <c r="Q37" s="402">
        <v>1.6999999999999998E-2</v>
      </c>
      <c r="R37" s="403">
        <v>3.3</v>
      </c>
      <c r="S37" s="404">
        <v>2.04</v>
      </c>
      <c r="T37" s="405">
        <v>4.0999999999999996</v>
      </c>
      <c r="U37" s="406">
        <v>6</v>
      </c>
      <c r="V37" s="373"/>
      <c r="W37" s="391" t="s">
        <v>537</v>
      </c>
    </row>
    <row r="38" spans="1:23">
      <c r="A38" s="392" t="s">
        <v>82</v>
      </c>
      <c r="B38" s="425">
        <v>1.08</v>
      </c>
      <c r="C38" s="425">
        <v>6</v>
      </c>
      <c r="D38" s="391">
        <v>0.31</v>
      </c>
      <c r="E38" s="394">
        <v>1.5</v>
      </c>
      <c r="F38" s="434"/>
      <c r="G38" s="435"/>
      <c r="H38" s="436">
        <v>0.3</v>
      </c>
      <c r="I38" s="437">
        <v>4000</v>
      </c>
      <c r="J38" s="438">
        <v>0.28000000000000003</v>
      </c>
      <c r="K38" s="435">
        <v>8000</v>
      </c>
      <c r="L38" s="436"/>
      <c r="M38" s="437"/>
      <c r="N38" s="438"/>
      <c r="O38" s="439"/>
      <c r="P38" s="401">
        <v>8000</v>
      </c>
      <c r="Q38" s="402">
        <v>3.1E-2</v>
      </c>
      <c r="R38" s="403">
        <v>12.4</v>
      </c>
      <c r="S38" s="404">
        <v>9.1</v>
      </c>
      <c r="T38" s="405">
        <v>13.3</v>
      </c>
      <c r="U38" s="406">
        <v>6</v>
      </c>
      <c r="V38" s="373"/>
      <c r="W38" s="391" t="s">
        <v>537</v>
      </c>
    </row>
    <row r="39" spans="1:23">
      <c r="A39" s="392" t="s">
        <v>342</v>
      </c>
      <c r="B39" s="425">
        <v>1.08</v>
      </c>
      <c r="C39" s="425">
        <v>10.9</v>
      </c>
      <c r="D39" s="391">
        <v>0.3</v>
      </c>
      <c r="E39" s="394">
        <v>2.72</v>
      </c>
      <c r="F39" s="434">
        <v>0.3</v>
      </c>
      <c r="G39" s="435">
        <v>3000</v>
      </c>
      <c r="H39" s="436">
        <v>0.27</v>
      </c>
      <c r="I39" s="437">
        <v>8000</v>
      </c>
      <c r="J39" s="438"/>
      <c r="K39" s="435"/>
      <c r="L39" s="436"/>
      <c r="M39" s="437"/>
      <c r="N39" s="438"/>
      <c r="O39" s="439"/>
      <c r="P39" s="401">
        <v>8000</v>
      </c>
      <c r="Q39" s="402">
        <v>3.1E-2</v>
      </c>
      <c r="R39" s="403">
        <v>3.9</v>
      </c>
      <c r="S39" s="404">
        <v>2.7</v>
      </c>
      <c r="T39" s="405">
        <v>7.2</v>
      </c>
      <c r="U39" s="406">
        <v>6</v>
      </c>
      <c r="V39" s="373"/>
      <c r="W39" s="391" t="s">
        <v>537</v>
      </c>
    </row>
    <row r="40" spans="1:23">
      <c r="A40" s="392" t="s">
        <v>83</v>
      </c>
      <c r="B40" s="425">
        <v>1.1599999999999999</v>
      </c>
      <c r="C40" s="425">
        <v>5.9</v>
      </c>
      <c r="D40" s="391">
        <v>0.41</v>
      </c>
      <c r="E40" s="394">
        <v>1.48</v>
      </c>
      <c r="F40" s="434"/>
      <c r="G40" s="435"/>
      <c r="H40" s="436"/>
      <c r="I40" s="437"/>
      <c r="J40" s="438">
        <v>0.36</v>
      </c>
      <c r="K40" s="435">
        <v>8000</v>
      </c>
      <c r="L40" s="436"/>
      <c r="M40" s="437"/>
      <c r="N40" s="438"/>
      <c r="O40" s="439"/>
      <c r="P40" s="401">
        <v>8000</v>
      </c>
      <c r="Q40" s="402">
        <v>4.4999999999999998E-2</v>
      </c>
      <c r="R40" s="403">
        <v>13.5</v>
      </c>
      <c r="S40" s="404">
        <v>10.3</v>
      </c>
      <c r="T40" s="405">
        <v>17.899999999999999</v>
      </c>
      <c r="U40" s="406">
        <v>6</v>
      </c>
      <c r="V40" s="373"/>
      <c r="W40" s="391" t="s">
        <v>537</v>
      </c>
    </row>
    <row r="41" spans="1:23">
      <c r="A41" s="392" t="s">
        <v>343</v>
      </c>
      <c r="B41" s="425">
        <v>1.44</v>
      </c>
      <c r="C41" s="425">
        <v>9.6</v>
      </c>
      <c r="D41" s="391">
        <v>0.4</v>
      </c>
      <c r="E41" s="394">
        <v>2.4</v>
      </c>
      <c r="F41" s="434">
        <v>0.4</v>
      </c>
      <c r="G41" s="435">
        <v>2000</v>
      </c>
      <c r="H41" s="436">
        <v>0.36</v>
      </c>
      <c r="I41" s="437">
        <v>7000</v>
      </c>
      <c r="J41" s="438"/>
      <c r="K41" s="435"/>
      <c r="L41" s="436"/>
      <c r="M41" s="437"/>
      <c r="N41" s="438"/>
      <c r="O41" s="439"/>
      <c r="P41" s="401">
        <v>8000</v>
      </c>
      <c r="Q41" s="402">
        <v>4.4999999999999998E-2</v>
      </c>
      <c r="R41" s="403">
        <v>5.21</v>
      </c>
      <c r="S41" s="404">
        <v>3.8</v>
      </c>
      <c r="T41" s="405">
        <v>10.9</v>
      </c>
      <c r="U41" s="406">
        <v>6</v>
      </c>
      <c r="V41" s="373"/>
      <c r="W41" s="391" t="s">
        <v>537</v>
      </c>
    </row>
    <row r="42" spans="1:23">
      <c r="A42" s="392" t="s">
        <v>84</v>
      </c>
      <c r="B42" s="425">
        <v>1.47</v>
      </c>
      <c r="C42" s="425">
        <v>6.3</v>
      </c>
      <c r="D42" s="391">
        <v>0.45</v>
      </c>
      <c r="E42" s="394">
        <v>1.5</v>
      </c>
      <c r="F42" s="434"/>
      <c r="G42" s="435"/>
      <c r="H42" s="436">
        <v>0.45</v>
      </c>
      <c r="I42" s="437">
        <v>2500</v>
      </c>
      <c r="J42" s="438">
        <v>0.39</v>
      </c>
      <c r="K42" s="435">
        <v>8000</v>
      </c>
      <c r="L42" s="436"/>
      <c r="M42" s="437"/>
      <c r="N42" s="438"/>
      <c r="O42" s="439"/>
      <c r="P42" s="401">
        <v>8000</v>
      </c>
      <c r="Q42" s="402">
        <v>0.107</v>
      </c>
      <c r="R42" s="403">
        <v>13</v>
      </c>
      <c r="S42" s="404">
        <v>19</v>
      </c>
      <c r="T42" s="405">
        <v>19.5</v>
      </c>
      <c r="U42" s="406">
        <v>6</v>
      </c>
      <c r="V42" s="373"/>
      <c r="W42" s="391" t="s">
        <v>537</v>
      </c>
    </row>
    <row r="43" spans="1:23">
      <c r="A43" s="392" t="s">
        <v>344</v>
      </c>
      <c r="B43" s="425">
        <v>1.49</v>
      </c>
      <c r="C43" s="425">
        <v>12.4</v>
      </c>
      <c r="D43" s="391">
        <v>0.48</v>
      </c>
      <c r="E43" s="394">
        <v>3</v>
      </c>
      <c r="F43" s="434">
        <v>0.48</v>
      </c>
      <c r="G43" s="435">
        <v>2000</v>
      </c>
      <c r="H43" s="436">
        <v>0.41</v>
      </c>
      <c r="I43" s="437">
        <v>7000</v>
      </c>
      <c r="J43" s="438"/>
      <c r="K43" s="435"/>
      <c r="L43" s="436"/>
      <c r="M43" s="437"/>
      <c r="N43" s="438"/>
      <c r="O43" s="439"/>
      <c r="P43" s="401">
        <v>8000</v>
      </c>
      <c r="Q43" s="402">
        <v>0.107</v>
      </c>
      <c r="R43" s="403">
        <v>3.42</v>
      </c>
      <c r="S43" s="404">
        <v>5.2</v>
      </c>
      <c r="T43" s="405">
        <v>10.199999999999999</v>
      </c>
      <c r="U43" s="406">
        <v>6</v>
      </c>
      <c r="V43" s="373"/>
      <c r="W43" s="391" t="s">
        <v>537</v>
      </c>
    </row>
    <row r="44" spans="1:23">
      <c r="A44" s="392" t="s">
        <v>539</v>
      </c>
      <c r="B44" s="425">
        <v>1.51</v>
      </c>
      <c r="C44" s="425">
        <v>19.5</v>
      </c>
      <c r="D44" s="391">
        <v>0.5</v>
      </c>
      <c r="E44" s="394">
        <v>4.87</v>
      </c>
      <c r="F44" s="434">
        <v>0.46</v>
      </c>
      <c r="G44" s="435">
        <v>4000</v>
      </c>
      <c r="H44" s="436"/>
      <c r="I44" s="437"/>
      <c r="J44" s="438"/>
      <c r="K44" s="435"/>
      <c r="L44" s="436"/>
      <c r="M44" s="437"/>
      <c r="N44" s="438"/>
      <c r="O44" s="439"/>
      <c r="P44" s="401">
        <v>8000</v>
      </c>
      <c r="Q44" s="402">
        <v>0.107</v>
      </c>
      <c r="R44" s="403">
        <v>1.44</v>
      </c>
      <c r="S44" s="404">
        <v>2.1800000000000002</v>
      </c>
      <c r="T44" s="405">
        <v>6.6</v>
      </c>
      <c r="U44" s="406">
        <v>6</v>
      </c>
      <c r="V44" s="373"/>
      <c r="W44" s="391" t="s">
        <v>537</v>
      </c>
    </row>
    <row r="45" spans="1:23">
      <c r="A45" s="392" t="s">
        <v>351</v>
      </c>
      <c r="B45" s="425">
        <v>2.73</v>
      </c>
      <c r="C45" s="425">
        <v>5.6</v>
      </c>
      <c r="D45" s="391">
        <v>0.84</v>
      </c>
      <c r="E45" s="394">
        <v>1.39</v>
      </c>
      <c r="F45" s="434"/>
      <c r="G45" s="435"/>
      <c r="H45" s="436">
        <v>0.83</v>
      </c>
      <c r="I45" s="437">
        <v>1000</v>
      </c>
      <c r="J45" s="438">
        <v>0.78</v>
      </c>
      <c r="K45" s="435">
        <v>3500</v>
      </c>
      <c r="L45" s="436">
        <v>0.68</v>
      </c>
      <c r="M45" s="437">
        <v>8000</v>
      </c>
      <c r="N45" s="438">
        <v>0.68</v>
      </c>
      <c r="O45" s="439">
        <v>8000</v>
      </c>
      <c r="P45" s="401">
        <v>8000</v>
      </c>
      <c r="Q45" s="402">
        <v>0.161</v>
      </c>
      <c r="R45" s="403">
        <v>19.399999999999999</v>
      </c>
      <c r="S45" s="404">
        <v>35.5</v>
      </c>
      <c r="T45" s="405">
        <v>39</v>
      </c>
      <c r="U45" s="406">
        <v>6</v>
      </c>
      <c r="V45" s="373"/>
      <c r="W45" s="391" t="s">
        <v>537</v>
      </c>
    </row>
    <row r="46" spans="1:23">
      <c r="A46" s="392" t="s">
        <v>85</v>
      </c>
      <c r="B46" s="425">
        <v>2.76</v>
      </c>
      <c r="C46" s="425">
        <v>11</v>
      </c>
      <c r="D46" s="391">
        <v>0.87</v>
      </c>
      <c r="E46" s="394">
        <v>2.73</v>
      </c>
      <c r="F46" s="434">
        <v>0.85</v>
      </c>
      <c r="G46" s="435">
        <v>1000</v>
      </c>
      <c r="H46" s="436">
        <v>0.81</v>
      </c>
      <c r="I46" s="437">
        <v>3500</v>
      </c>
      <c r="J46" s="438">
        <v>0.7</v>
      </c>
      <c r="K46" s="435">
        <v>8000</v>
      </c>
      <c r="L46" s="436"/>
      <c r="M46" s="437"/>
      <c r="N46" s="438"/>
      <c r="O46" s="439"/>
      <c r="P46" s="401">
        <v>8000</v>
      </c>
      <c r="Q46" s="402">
        <v>0.161</v>
      </c>
      <c r="R46" s="403">
        <v>5.09</v>
      </c>
      <c r="S46" s="404">
        <v>9.6999999999999993</v>
      </c>
      <c r="T46" s="405">
        <v>22.4</v>
      </c>
      <c r="U46" s="406">
        <v>6</v>
      </c>
      <c r="V46" s="373"/>
      <c r="W46" s="391" t="s">
        <v>537</v>
      </c>
    </row>
    <row r="47" spans="1:23">
      <c r="A47" s="392" t="s">
        <v>345</v>
      </c>
      <c r="B47" s="425">
        <v>2.79</v>
      </c>
      <c r="C47" s="425">
        <v>19.3</v>
      </c>
      <c r="D47" s="391">
        <v>0.88</v>
      </c>
      <c r="E47" s="394">
        <v>4.82</v>
      </c>
      <c r="F47" s="434">
        <v>0.84</v>
      </c>
      <c r="G47" s="435">
        <v>2500</v>
      </c>
      <c r="H47" s="436">
        <v>0.74</v>
      </c>
      <c r="I47" s="437">
        <v>7000</v>
      </c>
      <c r="J47" s="438"/>
      <c r="K47" s="435"/>
      <c r="L47" s="436"/>
      <c r="M47" s="437"/>
      <c r="N47" s="438"/>
      <c r="O47" s="439"/>
      <c r="P47" s="401">
        <v>8000</v>
      </c>
      <c r="Q47" s="402">
        <v>0.161</v>
      </c>
      <c r="R47" s="403">
        <v>1.69</v>
      </c>
      <c r="S47" s="404">
        <v>3.19</v>
      </c>
      <c r="T47" s="405">
        <v>11.7</v>
      </c>
      <c r="U47" s="406">
        <v>6</v>
      </c>
      <c r="V47" s="373"/>
      <c r="W47" s="391" t="s">
        <v>537</v>
      </c>
    </row>
    <row r="48" spans="1:23">
      <c r="A48" s="392" t="s">
        <v>540</v>
      </c>
      <c r="B48" s="425">
        <v>3.77</v>
      </c>
      <c r="C48" s="425">
        <v>5.6</v>
      </c>
      <c r="D48" s="391">
        <v>1.1299999999999999</v>
      </c>
      <c r="E48" s="394">
        <v>1.41</v>
      </c>
      <c r="F48" s="434"/>
      <c r="G48" s="435"/>
      <c r="H48" s="436">
        <v>1.1100000000000001</v>
      </c>
      <c r="I48" s="437">
        <v>1000</v>
      </c>
      <c r="J48" s="438">
        <v>1.08</v>
      </c>
      <c r="K48" s="435">
        <v>2500</v>
      </c>
      <c r="L48" s="436">
        <v>0.99</v>
      </c>
      <c r="M48" s="437">
        <v>5500</v>
      </c>
      <c r="N48" s="438">
        <v>0.95</v>
      </c>
      <c r="O48" s="439">
        <v>7000</v>
      </c>
      <c r="P48" s="401">
        <v>8000</v>
      </c>
      <c r="Q48" s="402">
        <v>0.21600000000000003</v>
      </c>
      <c r="R48" s="403">
        <v>20.3</v>
      </c>
      <c r="S48" s="404">
        <v>40.700000000000003</v>
      </c>
      <c r="T48" s="405">
        <v>51.8</v>
      </c>
      <c r="U48" s="406">
        <v>6</v>
      </c>
      <c r="V48" s="373"/>
      <c r="W48" s="391" t="s">
        <v>537</v>
      </c>
    </row>
    <row r="49" spans="1:23">
      <c r="A49" s="392" t="s">
        <v>352</v>
      </c>
      <c r="B49" s="425">
        <v>3.84</v>
      </c>
      <c r="C49" s="425">
        <v>8.8000000000000007</v>
      </c>
      <c r="D49" s="391">
        <v>1.1599999999999999</v>
      </c>
      <c r="E49" s="394">
        <v>2.19</v>
      </c>
      <c r="F49" s="434"/>
      <c r="G49" s="435"/>
      <c r="H49" s="436">
        <v>1.1200000000000001</v>
      </c>
      <c r="I49" s="437">
        <v>1500</v>
      </c>
      <c r="J49" s="438">
        <v>1.03</v>
      </c>
      <c r="K49" s="435">
        <v>5000</v>
      </c>
      <c r="L49" s="436">
        <v>0.92</v>
      </c>
      <c r="M49" s="437">
        <v>8000</v>
      </c>
      <c r="N49" s="438">
        <v>0.92</v>
      </c>
      <c r="O49" s="439">
        <v>8000</v>
      </c>
      <c r="P49" s="401">
        <v>8000</v>
      </c>
      <c r="Q49" s="402">
        <v>0.21600000000000003</v>
      </c>
      <c r="R49" s="403">
        <v>8.36</v>
      </c>
      <c r="S49" s="404">
        <v>17.3</v>
      </c>
      <c r="T49" s="405">
        <v>33.799999999999997</v>
      </c>
      <c r="U49" s="406">
        <v>6</v>
      </c>
      <c r="V49" s="373"/>
      <c r="W49" s="391" t="s">
        <v>537</v>
      </c>
    </row>
    <row r="50" spans="1:23">
      <c r="A50" s="440" t="s">
        <v>86</v>
      </c>
      <c r="B50" s="441">
        <v>3.88</v>
      </c>
      <c r="C50" s="442">
        <v>11.3</v>
      </c>
      <c r="D50" s="441">
        <v>1.1599999999999999</v>
      </c>
      <c r="E50" s="441">
        <v>2.78</v>
      </c>
      <c r="F50" s="399"/>
      <c r="G50" s="396"/>
      <c r="H50" s="397">
        <v>1.1000000000000001</v>
      </c>
      <c r="I50" s="398">
        <v>2500</v>
      </c>
      <c r="J50" s="399">
        <v>0.98</v>
      </c>
      <c r="K50" s="396">
        <v>6500</v>
      </c>
      <c r="L50" s="397"/>
      <c r="M50" s="398"/>
      <c r="N50" s="399"/>
      <c r="O50" s="435"/>
      <c r="P50" s="441">
        <v>8000</v>
      </c>
      <c r="Q50" s="441">
        <v>0.22</v>
      </c>
      <c r="R50" s="426">
        <v>5.44</v>
      </c>
      <c r="S50" s="426">
        <v>11.1</v>
      </c>
      <c r="T50" s="443">
        <v>27</v>
      </c>
      <c r="U50" s="426">
        <v>6</v>
      </c>
      <c r="V50" s="373"/>
      <c r="W50" s="373"/>
    </row>
    <row r="51" spans="1:23">
      <c r="A51" s="392" t="s">
        <v>346</v>
      </c>
      <c r="B51" s="425">
        <v>3.88</v>
      </c>
      <c r="C51" s="425">
        <v>17.2</v>
      </c>
      <c r="D51" s="391">
        <v>1.18</v>
      </c>
      <c r="E51" s="394">
        <v>4.3099999999999996</v>
      </c>
      <c r="F51" s="434">
        <v>1.1499999999999999</v>
      </c>
      <c r="G51" s="435">
        <v>1500</v>
      </c>
      <c r="H51" s="436">
        <v>1.07</v>
      </c>
      <c r="I51" s="437">
        <v>4500</v>
      </c>
      <c r="J51" s="438">
        <v>0.94</v>
      </c>
      <c r="K51" s="435">
        <v>8000</v>
      </c>
      <c r="L51" s="436"/>
      <c r="M51" s="437"/>
      <c r="N51" s="438"/>
      <c r="O51" s="439"/>
      <c r="P51" s="401">
        <v>8000</v>
      </c>
      <c r="Q51" s="402">
        <v>0.21600000000000003</v>
      </c>
      <c r="R51" s="403">
        <v>2.23</v>
      </c>
      <c r="S51" s="404">
        <v>4.68</v>
      </c>
      <c r="T51" s="405">
        <v>17.600000000000001</v>
      </c>
      <c r="U51" s="406">
        <v>6</v>
      </c>
      <c r="V51" s="373"/>
      <c r="W51" s="391" t="s">
        <v>537</v>
      </c>
    </row>
    <row r="52" spans="1:23">
      <c r="A52" s="392" t="s">
        <v>541</v>
      </c>
      <c r="B52" s="425">
        <v>4.67</v>
      </c>
      <c r="C52" s="425">
        <v>5.7</v>
      </c>
      <c r="D52" s="391">
        <v>1.38</v>
      </c>
      <c r="E52" s="394">
        <v>1.42</v>
      </c>
      <c r="F52" s="434"/>
      <c r="G52" s="435"/>
      <c r="H52" s="436"/>
      <c r="I52" s="437"/>
      <c r="J52" s="438">
        <v>1.32</v>
      </c>
      <c r="K52" s="435">
        <v>2000</v>
      </c>
      <c r="L52" s="436">
        <v>1.25</v>
      </c>
      <c r="M52" s="437">
        <v>4500</v>
      </c>
      <c r="N52" s="438">
        <v>1.22</v>
      </c>
      <c r="O52" s="439">
        <v>5500</v>
      </c>
      <c r="P52" s="401">
        <v>8000</v>
      </c>
      <c r="Q52" s="402">
        <v>0.27</v>
      </c>
      <c r="R52" s="403">
        <v>20.399999999999999</v>
      </c>
      <c r="S52" s="404">
        <v>43.8</v>
      </c>
      <c r="T52" s="405">
        <v>62.4</v>
      </c>
      <c r="U52" s="406">
        <v>6</v>
      </c>
      <c r="V52" s="373"/>
      <c r="W52" s="391" t="s">
        <v>537</v>
      </c>
    </row>
    <row r="53" spans="1:23">
      <c r="A53" s="392" t="s">
        <v>353</v>
      </c>
      <c r="B53" s="425">
        <v>4.76</v>
      </c>
      <c r="C53" s="425">
        <v>8.8000000000000007</v>
      </c>
      <c r="D53" s="391">
        <v>1.41</v>
      </c>
      <c r="E53" s="394">
        <v>2.21</v>
      </c>
      <c r="F53" s="434"/>
      <c r="G53" s="435"/>
      <c r="H53" s="436">
        <v>1.36</v>
      </c>
      <c r="I53" s="437">
        <v>1500</v>
      </c>
      <c r="J53" s="438">
        <v>1.29</v>
      </c>
      <c r="K53" s="435">
        <v>4000</v>
      </c>
      <c r="L53" s="436">
        <v>1.1100000000000001</v>
      </c>
      <c r="M53" s="437">
        <v>8000</v>
      </c>
      <c r="N53" s="438">
        <v>1.1100000000000001</v>
      </c>
      <c r="O53" s="439">
        <v>8000</v>
      </c>
      <c r="P53" s="401">
        <v>8000</v>
      </c>
      <c r="Q53" s="402">
        <v>0.27</v>
      </c>
      <c r="R53" s="403">
        <v>8.4</v>
      </c>
      <c r="S53" s="404">
        <v>18.7</v>
      </c>
      <c r="T53" s="405">
        <v>40.799999999999997</v>
      </c>
      <c r="U53" s="406">
        <v>6</v>
      </c>
      <c r="V53" s="373"/>
      <c r="W53" s="391" t="s">
        <v>537</v>
      </c>
    </row>
    <row r="54" spans="1:23">
      <c r="A54" s="444" t="s">
        <v>87</v>
      </c>
      <c r="B54" s="445">
        <v>4.76</v>
      </c>
      <c r="C54" s="446">
        <v>9.5</v>
      </c>
      <c r="D54" s="445">
        <v>1.4</v>
      </c>
      <c r="E54" s="445">
        <v>2.79</v>
      </c>
      <c r="F54" s="438"/>
      <c r="G54" s="435"/>
      <c r="H54" s="436">
        <v>1.34</v>
      </c>
      <c r="I54" s="437">
        <v>2000</v>
      </c>
      <c r="J54" s="438">
        <v>1.24</v>
      </c>
      <c r="K54" s="435">
        <v>5500</v>
      </c>
      <c r="L54" s="436"/>
      <c r="M54" s="437"/>
      <c r="N54" s="438"/>
      <c r="O54" s="435"/>
      <c r="P54" s="445">
        <v>8000</v>
      </c>
      <c r="Q54" s="445">
        <v>0.27</v>
      </c>
      <c r="R54" s="391">
        <v>5.44</v>
      </c>
      <c r="S54" s="391">
        <v>11.8</v>
      </c>
      <c r="T54" s="447">
        <v>32.4</v>
      </c>
      <c r="U54" s="391">
        <v>6</v>
      </c>
      <c r="V54" s="373"/>
      <c r="W54" s="373"/>
    </row>
    <row r="55" spans="1:23">
      <c r="A55" s="392" t="s">
        <v>347</v>
      </c>
      <c r="B55" s="425">
        <v>4.82</v>
      </c>
      <c r="C55" s="425">
        <v>15.6</v>
      </c>
      <c r="D55" s="391">
        <v>1.42</v>
      </c>
      <c r="E55" s="394">
        <v>3.89</v>
      </c>
      <c r="F55" s="434">
        <v>1.39</v>
      </c>
      <c r="G55" s="435">
        <v>1000</v>
      </c>
      <c r="H55" s="436">
        <v>1.33</v>
      </c>
      <c r="I55" s="437">
        <v>3000</v>
      </c>
      <c r="J55" s="438">
        <v>1.1200000000000001</v>
      </c>
      <c r="K55" s="435">
        <v>8000</v>
      </c>
      <c r="L55" s="436"/>
      <c r="M55" s="437"/>
      <c r="N55" s="438"/>
      <c r="O55" s="439"/>
      <c r="P55" s="401">
        <v>8000</v>
      </c>
      <c r="Q55" s="402">
        <v>0.27</v>
      </c>
      <c r="R55" s="403">
        <v>2.77</v>
      </c>
      <c r="S55" s="404">
        <v>6.16</v>
      </c>
      <c r="T55" s="405">
        <v>23.4</v>
      </c>
      <c r="U55" s="406">
        <v>6</v>
      </c>
      <c r="V55" s="373"/>
      <c r="W55" s="391" t="s">
        <v>537</v>
      </c>
    </row>
    <row r="56" spans="1:23">
      <c r="A56" s="392" t="s">
        <v>354</v>
      </c>
      <c r="B56" s="425">
        <v>3.88</v>
      </c>
      <c r="C56" s="425">
        <v>5.5</v>
      </c>
      <c r="D56" s="391">
        <v>1.1499999999999999</v>
      </c>
      <c r="E56" s="394">
        <v>1.37</v>
      </c>
      <c r="F56" s="434"/>
      <c r="G56" s="435"/>
      <c r="H56" s="436"/>
      <c r="I56" s="437"/>
      <c r="J56" s="438">
        <v>1.1200000000000001</v>
      </c>
      <c r="K56" s="435">
        <v>2500</v>
      </c>
      <c r="L56" s="436">
        <v>1</v>
      </c>
      <c r="M56" s="437">
        <v>5000</v>
      </c>
      <c r="N56" s="438">
        <v>0.91</v>
      </c>
      <c r="O56" s="439">
        <v>6000</v>
      </c>
      <c r="P56" s="401">
        <v>8000</v>
      </c>
      <c r="Q56" s="402">
        <v>0.33</v>
      </c>
      <c r="R56" s="403">
        <v>21.4</v>
      </c>
      <c r="S56" s="404">
        <v>37.5</v>
      </c>
      <c r="T56" s="405">
        <v>54.5</v>
      </c>
      <c r="U56" s="406">
        <v>8</v>
      </c>
      <c r="V56" s="373"/>
      <c r="W56" s="391" t="s">
        <v>537</v>
      </c>
    </row>
    <row r="57" spans="1:23">
      <c r="A57" s="392" t="s">
        <v>88</v>
      </c>
      <c r="B57" s="425">
        <v>4</v>
      </c>
      <c r="C57" s="425">
        <v>12</v>
      </c>
      <c r="D57" s="391">
        <v>1.2</v>
      </c>
      <c r="E57" s="394">
        <v>2.99</v>
      </c>
      <c r="F57" s="434">
        <v>1.19</v>
      </c>
      <c r="G57" s="435">
        <v>750</v>
      </c>
      <c r="H57" s="436">
        <v>1.17</v>
      </c>
      <c r="I57" s="437">
        <v>2500</v>
      </c>
      <c r="J57" s="438">
        <v>0.95</v>
      </c>
      <c r="K57" s="435">
        <v>6000</v>
      </c>
      <c r="L57" s="436"/>
      <c r="M57" s="437"/>
      <c r="N57" s="438"/>
      <c r="O57" s="439"/>
      <c r="P57" s="401">
        <v>8000</v>
      </c>
      <c r="Q57" s="402">
        <v>0.33</v>
      </c>
      <c r="R57" s="403">
        <v>4.58</v>
      </c>
      <c r="S57" s="404">
        <v>8.6</v>
      </c>
      <c r="T57" s="405">
        <v>26.1</v>
      </c>
      <c r="U57" s="406">
        <v>8</v>
      </c>
      <c r="V57" s="373"/>
      <c r="W57" s="391" t="s">
        <v>537</v>
      </c>
    </row>
    <row r="58" spans="1:23">
      <c r="A58" s="392" t="s">
        <v>348</v>
      </c>
      <c r="B58" s="425">
        <v>4.0599999999999996</v>
      </c>
      <c r="C58" s="425">
        <v>23.4</v>
      </c>
      <c r="D58" s="391">
        <v>1.23</v>
      </c>
      <c r="E58" s="394">
        <v>5.85</v>
      </c>
      <c r="F58" s="434">
        <v>1.2</v>
      </c>
      <c r="G58" s="435">
        <v>2000</v>
      </c>
      <c r="H58" s="436">
        <v>0.97</v>
      </c>
      <c r="I58" s="437">
        <v>6000</v>
      </c>
      <c r="J58" s="438"/>
      <c r="K58" s="435"/>
      <c r="L58" s="436"/>
      <c r="M58" s="437"/>
      <c r="N58" s="438"/>
      <c r="O58" s="439"/>
      <c r="P58" s="401">
        <v>8000</v>
      </c>
      <c r="Q58" s="402">
        <v>0.33</v>
      </c>
      <c r="R58" s="403">
        <v>1.25</v>
      </c>
      <c r="S58" s="404">
        <v>2.4</v>
      </c>
      <c r="T58" s="405">
        <v>13.7</v>
      </c>
      <c r="U58" s="406">
        <v>8</v>
      </c>
      <c r="V58" s="373"/>
      <c r="W58" s="391" t="s">
        <v>537</v>
      </c>
    </row>
    <row r="59" spans="1:23">
      <c r="A59" s="392" t="s">
        <v>542</v>
      </c>
      <c r="B59" s="425">
        <v>6.92</v>
      </c>
      <c r="C59" s="425">
        <v>5.8</v>
      </c>
      <c r="D59" s="391">
        <v>2</v>
      </c>
      <c r="E59" s="394">
        <v>1.44</v>
      </c>
      <c r="F59" s="434"/>
      <c r="G59" s="435"/>
      <c r="H59" s="436"/>
      <c r="I59" s="437"/>
      <c r="J59" s="438">
        <v>1.95</v>
      </c>
      <c r="K59" s="435">
        <v>1500</v>
      </c>
      <c r="L59" s="436">
        <v>1.86</v>
      </c>
      <c r="M59" s="437">
        <v>3000</v>
      </c>
      <c r="N59" s="438">
        <v>1.83</v>
      </c>
      <c r="O59" s="439">
        <v>3500</v>
      </c>
      <c r="P59" s="401">
        <v>8000</v>
      </c>
      <c r="Q59" s="402">
        <v>0.59</v>
      </c>
      <c r="R59" s="403">
        <v>23</v>
      </c>
      <c r="S59" s="404">
        <v>46.5</v>
      </c>
      <c r="T59" s="405">
        <v>89.8</v>
      </c>
      <c r="U59" s="406">
        <v>8</v>
      </c>
      <c r="V59" s="373"/>
      <c r="W59" s="391" t="s">
        <v>537</v>
      </c>
    </row>
    <row r="60" spans="1:23">
      <c r="A60" s="392" t="s">
        <v>543</v>
      </c>
      <c r="B60" s="425">
        <v>7.1</v>
      </c>
      <c r="C60" s="425">
        <v>8.9</v>
      </c>
      <c r="D60" s="391">
        <v>2.04</v>
      </c>
      <c r="E60" s="394">
        <v>2.23</v>
      </c>
      <c r="F60" s="434"/>
      <c r="G60" s="435"/>
      <c r="H60" s="436">
        <v>2</v>
      </c>
      <c r="I60" s="437">
        <v>1000</v>
      </c>
      <c r="J60" s="438">
        <v>1.93</v>
      </c>
      <c r="K60" s="435">
        <v>2500</v>
      </c>
      <c r="L60" s="436">
        <v>1.65</v>
      </c>
      <c r="M60" s="437">
        <v>5500</v>
      </c>
      <c r="N60" s="438">
        <v>1.58</v>
      </c>
      <c r="O60" s="439">
        <v>6000</v>
      </c>
      <c r="P60" s="401">
        <v>8000</v>
      </c>
      <c r="Q60" s="402">
        <v>0.59</v>
      </c>
      <c r="R60" s="403">
        <v>9.57</v>
      </c>
      <c r="S60" s="404">
        <v>20.100000000000001</v>
      </c>
      <c r="T60" s="405">
        <v>59</v>
      </c>
      <c r="U60" s="406">
        <v>8</v>
      </c>
      <c r="V60" s="373"/>
      <c r="W60" s="391" t="s">
        <v>537</v>
      </c>
    </row>
    <row r="61" spans="1:23">
      <c r="A61" s="448" t="s">
        <v>89</v>
      </c>
      <c r="B61" s="445">
        <v>7.11</v>
      </c>
      <c r="C61" s="445">
        <v>11.3</v>
      </c>
      <c r="D61" s="445">
        <v>2.04</v>
      </c>
      <c r="E61" s="445">
        <v>2.82</v>
      </c>
      <c r="F61" s="438"/>
      <c r="G61" s="435"/>
      <c r="H61" s="436"/>
      <c r="I61" s="437"/>
      <c r="J61" s="438">
        <v>1.87</v>
      </c>
      <c r="K61" s="435">
        <v>3500</v>
      </c>
      <c r="L61" s="436">
        <v>1.41</v>
      </c>
      <c r="M61" s="437">
        <v>7000</v>
      </c>
      <c r="N61" s="438">
        <v>1.22</v>
      </c>
      <c r="O61" s="435">
        <v>8000</v>
      </c>
      <c r="P61" s="445">
        <v>8000</v>
      </c>
      <c r="Q61" s="445">
        <v>0.59</v>
      </c>
      <c r="R61" s="391">
        <v>6.3</v>
      </c>
      <c r="S61" s="391">
        <v>12.8</v>
      </c>
      <c r="T61" s="447">
        <v>47.1</v>
      </c>
      <c r="U61" s="391">
        <v>8</v>
      </c>
      <c r="V61" s="373"/>
      <c r="W61" s="373"/>
    </row>
    <row r="62" spans="1:23">
      <c r="A62" s="392" t="s">
        <v>349</v>
      </c>
      <c r="B62" s="425">
        <v>7.26</v>
      </c>
      <c r="C62" s="425">
        <v>22</v>
      </c>
      <c r="D62" s="391">
        <v>2.1</v>
      </c>
      <c r="E62" s="394">
        <v>5.5</v>
      </c>
      <c r="F62" s="434">
        <v>2.06</v>
      </c>
      <c r="G62" s="435">
        <v>1200</v>
      </c>
      <c r="H62" s="436">
        <v>1.96</v>
      </c>
      <c r="I62" s="437">
        <v>3000</v>
      </c>
      <c r="J62" s="438">
        <v>1.45</v>
      </c>
      <c r="K62" s="435">
        <v>7000</v>
      </c>
      <c r="L62" s="436"/>
      <c r="M62" s="437"/>
      <c r="N62" s="438"/>
      <c r="O62" s="439"/>
      <c r="P62" s="401">
        <v>8000</v>
      </c>
      <c r="Q62" s="402">
        <v>0.59</v>
      </c>
      <c r="R62" s="403">
        <v>1.64</v>
      </c>
      <c r="S62" s="404">
        <v>3.55</v>
      </c>
      <c r="T62" s="405">
        <v>24.8</v>
      </c>
      <c r="U62" s="406">
        <v>8</v>
      </c>
      <c r="V62" s="373"/>
      <c r="W62" s="391" t="s">
        <v>537</v>
      </c>
    </row>
    <row r="63" spans="1:23">
      <c r="A63" s="392" t="s">
        <v>544</v>
      </c>
      <c r="B63" s="425">
        <v>9.76</v>
      </c>
      <c r="C63" s="425">
        <v>5.9</v>
      </c>
      <c r="D63" s="391">
        <v>2.71</v>
      </c>
      <c r="E63" s="394">
        <v>1.47</v>
      </c>
      <c r="F63" s="434"/>
      <c r="G63" s="435"/>
      <c r="H63" s="436"/>
      <c r="I63" s="437"/>
      <c r="J63" s="438">
        <v>2.64</v>
      </c>
      <c r="K63" s="435">
        <v>1000</v>
      </c>
      <c r="L63" s="436">
        <v>2.54</v>
      </c>
      <c r="M63" s="437">
        <v>2000</v>
      </c>
      <c r="N63" s="438">
        <v>2.5</v>
      </c>
      <c r="O63" s="439">
        <v>2500</v>
      </c>
      <c r="P63" s="401">
        <v>8000</v>
      </c>
      <c r="Q63" s="402">
        <v>0.85</v>
      </c>
      <c r="R63" s="403">
        <v>25.4</v>
      </c>
      <c r="S63" s="404">
        <v>53.6</v>
      </c>
      <c r="T63" s="405">
        <v>120</v>
      </c>
      <c r="U63" s="406">
        <v>8</v>
      </c>
      <c r="V63" s="373"/>
      <c r="W63" s="391" t="s">
        <v>537</v>
      </c>
    </row>
    <row r="64" spans="1:23">
      <c r="A64" s="392" t="s">
        <v>355</v>
      </c>
      <c r="B64" s="425">
        <v>9.9600000000000009</v>
      </c>
      <c r="C64" s="425">
        <v>10.3</v>
      </c>
      <c r="D64" s="391">
        <v>2.79</v>
      </c>
      <c r="E64" s="394">
        <v>2.58</v>
      </c>
      <c r="F64" s="434"/>
      <c r="G64" s="435"/>
      <c r="H64" s="436"/>
      <c r="I64" s="437"/>
      <c r="J64" s="438">
        <v>2.62</v>
      </c>
      <c r="K64" s="435">
        <v>2000</v>
      </c>
      <c r="L64" s="436">
        <v>2.34</v>
      </c>
      <c r="M64" s="437">
        <v>4500</v>
      </c>
      <c r="N64" s="438">
        <v>2.27</v>
      </c>
      <c r="O64" s="439">
        <v>5000</v>
      </c>
      <c r="P64" s="401">
        <v>8000</v>
      </c>
      <c r="Q64" s="402">
        <v>0.85</v>
      </c>
      <c r="R64" s="403">
        <v>8.36</v>
      </c>
      <c r="S64" s="404">
        <v>18.5</v>
      </c>
      <c r="T64" s="405">
        <v>70.599999999999994</v>
      </c>
      <c r="U64" s="406">
        <v>8</v>
      </c>
      <c r="V64" s="373"/>
      <c r="W64" s="391" t="s">
        <v>537</v>
      </c>
    </row>
    <row r="65" spans="1:23">
      <c r="A65" s="392" t="s">
        <v>90</v>
      </c>
      <c r="B65" s="425">
        <v>10.220000000000001</v>
      </c>
      <c r="C65" s="425">
        <v>22.5</v>
      </c>
      <c r="D65" s="391">
        <v>2.88</v>
      </c>
      <c r="E65" s="394">
        <v>5.62</v>
      </c>
      <c r="F65" s="434">
        <v>2.82</v>
      </c>
      <c r="G65" s="435">
        <v>800</v>
      </c>
      <c r="H65" s="436">
        <v>2.66</v>
      </c>
      <c r="I65" s="437">
        <v>2500</v>
      </c>
      <c r="J65" s="438">
        <v>2.27</v>
      </c>
      <c r="K65" s="435">
        <v>5500</v>
      </c>
      <c r="L65" s="436"/>
      <c r="M65" s="437"/>
      <c r="N65" s="438"/>
      <c r="O65" s="439"/>
      <c r="P65" s="401">
        <v>8000</v>
      </c>
      <c r="Q65" s="402">
        <v>0.85</v>
      </c>
      <c r="R65" s="403">
        <v>1.82</v>
      </c>
      <c r="S65" s="404">
        <v>4.0999999999999996</v>
      </c>
      <c r="T65" s="405">
        <v>33.4</v>
      </c>
      <c r="U65" s="406">
        <v>8</v>
      </c>
      <c r="V65" s="373"/>
      <c r="W65" s="391" t="s">
        <v>537</v>
      </c>
    </row>
    <row r="66" spans="1:23">
      <c r="A66" s="392" t="s">
        <v>545</v>
      </c>
      <c r="B66" s="425">
        <v>6.12</v>
      </c>
      <c r="C66" s="425">
        <v>5.8</v>
      </c>
      <c r="D66" s="391">
        <v>1.95</v>
      </c>
      <c r="E66" s="394">
        <v>1.46</v>
      </c>
      <c r="F66" s="434"/>
      <c r="G66" s="435"/>
      <c r="H66" s="436"/>
      <c r="I66" s="437"/>
      <c r="J66" s="438">
        <v>1.88</v>
      </c>
      <c r="K66" s="435">
        <v>1200</v>
      </c>
      <c r="L66" s="436">
        <v>1.77</v>
      </c>
      <c r="M66" s="437">
        <v>3000</v>
      </c>
      <c r="N66" s="438">
        <v>1.74</v>
      </c>
      <c r="O66" s="439">
        <v>3500</v>
      </c>
      <c r="P66" s="401">
        <v>6000</v>
      </c>
      <c r="Q66" s="402">
        <v>0.81</v>
      </c>
      <c r="R66" s="403">
        <v>21.7</v>
      </c>
      <c r="S66" s="404">
        <v>66.099999999999994</v>
      </c>
      <c r="T66" s="405">
        <v>86.3</v>
      </c>
      <c r="U66" s="406">
        <v>10</v>
      </c>
      <c r="V66" s="373"/>
      <c r="W66" s="391" t="s">
        <v>537</v>
      </c>
    </row>
    <row r="67" spans="1:23">
      <c r="A67" s="392" t="s">
        <v>356</v>
      </c>
      <c r="B67" s="425">
        <v>6.28</v>
      </c>
      <c r="C67" s="425">
        <v>11.4</v>
      </c>
      <c r="D67" s="391">
        <v>2.02</v>
      </c>
      <c r="E67" s="394">
        <v>2.85</v>
      </c>
      <c r="F67" s="434"/>
      <c r="G67" s="435"/>
      <c r="H67" s="436">
        <v>1.94</v>
      </c>
      <c r="I67" s="437">
        <v>1200</v>
      </c>
      <c r="J67" s="438">
        <v>1.82</v>
      </c>
      <c r="K67" s="435">
        <v>3000</v>
      </c>
      <c r="L67" s="436">
        <v>1.58</v>
      </c>
      <c r="M67" s="437">
        <v>6000</v>
      </c>
      <c r="N67" s="438">
        <v>1.58</v>
      </c>
      <c r="O67" s="439">
        <v>6000</v>
      </c>
      <c r="P67" s="401">
        <v>6000</v>
      </c>
      <c r="Q67" s="402">
        <v>0.81</v>
      </c>
      <c r="R67" s="403">
        <v>5.7</v>
      </c>
      <c r="S67" s="404">
        <v>18.399999999999999</v>
      </c>
      <c r="T67" s="405">
        <v>45.6</v>
      </c>
      <c r="U67" s="406">
        <v>10</v>
      </c>
      <c r="V67" s="373"/>
      <c r="W67" s="391" t="s">
        <v>537</v>
      </c>
    </row>
    <row r="68" spans="1:23">
      <c r="A68" s="392" t="s">
        <v>91</v>
      </c>
      <c r="B68" s="425">
        <v>6.36</v>
      </c>
      <c r="C68" s="425">
        <v>22.4</v>
      </c>
      <c r="D68" s="391">
        <v>2.06</v>
      </c>
      <c r="E68" s="394">
        <v>5.6</v>
      </c>
      <c r="F68" s="434">
        <v>1.99</v>
      </c>
      <c r="G68" s="435">
        <v>1000</v>
      </c>
      <c r="H68" s="436">
        <v>1.86</v>
      </c>
      <c r="I68" s="437">
        <v>3000</v>
      </c>
      <c r="J68" s="438">
        <v>1.62</v>
      </c>
      <c r="K68" s="435">
        <v>6000</v>
      </c>
      <c r="L68" s="436"/>
      <c r="M68" s="437"/>
      <c r="N68" s="438"/>
      <c r="O68" s="439"/>
      <c r="P68" s="401">
        <v>6000</v>
      </c>
      <c r="Q68" s="402">
        <v>0.81</v>
      </c>
      <c r="R68" s="403">
        <v>1.51</v>
      </c>
      <c r="S68" s="404">
        <v>5</v>
      </c>
      <c r="T68" s="405">
        <v>23.7</v>
      </c>
      <c r="U68" s="406">
        <v>10</v>
      </c>
      <c r="V68" s="373"/>
      <c r="W68" s="391" t="s">
        <v>537</v>
      </c>
    </row>
    <row r="69" spans="1:23">
      <c r="A69" s="392" t="s">
        <v>546</v>
      </c>
      <c r="B69" s="425">
        <v>11.3</v>
      </c>
      <c r="C69" s="425">
        <v>5.6</v>
      </c>
      <c r="D69" s="391">
        <v>3.35</v>
      </c>
      <c r="E69" s="394">
        <v>1.4</v>
      </c>
      <c r="F69" s="434"/>
      <c r="G69" s="435"/>
      <c r="H69" s="436"/>
      <c r="I69" s="437"/>
      <c r="J69" s="438"/>
      <c r="K69" s="435"/>
      <c r="L69" s="436">
        <v>3.1</v>
      </c>
      <c r="M69" s="437">
        <v>1500</v>
      </c>
      <c r="N69" s="438">
        <v>3.02</v>
      </c>
      <c r="O69" s="439">
        <v>2000</v>
      </c>
      <c r="P69" s="401">
        <v>6000</v>
      </c>
      <c r="Q69" s="402">
        <v>1.45</v>
      </c>
      <c r="R69" s="403">
        <v>27.52</v>
      </c>
      <c r="S69" s="404">
        <v>97.4</v>
      </c>
      <c r="T69" s="405">
        <v>154</v>
      </c>
      <c r="U69" s="406">
        <v>10</v>
      </c>
      <c r="V69" s="373"/>
      <c r="W69" s="391" t="s">
        <v>537</v>
      </c>
    </row>
    <row r="70" spans="1:23">
      <c r="A70" s="392" t="s">
        <v>547</v>
      </c>
      <c r="B70" s="425">
        <v>11.3</v>
      </c>
      <c r="C70" s="425">
        <v>11</v>
      </c>
      <c r="D70" s="391">
        <v>3.42</v>
      </c>
      <c r="E70" s="394">
        <v>2.74</v>
      </c>
      <c r="F70" s="434"/>
      <c r="G70" s="435"/>
      <c r="H70" s="436"/>
      <c r="I70" s="437"/>
      <c r="J70" s="438">
        <v>3.12</v>
      </c>
      <c r="K70" s="435">
        <v>1800</v>
      </c>
      <c r="L70" s="436">
        <v>2.81</v>
      </c>
      <c r="M70" s="437">
        <v>3500</v>
      </c>
      <c r="N70" s="438">
        <v>2.72</v>
      </c>
      <c r="O70" s="439">
        <v>4000</v>
      </c>
      <c r="P70" s="401">
        <v>6000</v>
      </c>
      <c r="Q70" s="402">
        <v>1.45</v>
      </c>
      <c r="R70" s="403">
        <v>7.22</v>
      </c>
      <c r="S70" s="404">
        <v>26.8</v>
      </c>
      <c r="T70" s="405">
        <v>80.900000000000006</v>
      </c>
      <c r="U70" s="406">
        <v>10</v>
      </c>
      <c r="V70" s="373"/>
      <c r="W70" s="391" t="s">
        <v>537</v>
      </c>
    </row>
    <row r="71" spans="1:23">
      <c r="A71" s="392" t="s">
        <v>357</v>
      </c>
      <c r="B71" s="425">
        <v>11.5</v>
      </c>
      <c r="C71" s="425">
        <v>19.2</v>
      </c>
      <c r="D71" s="391">
        <v>3.53</v>
      </c>
      <c r="E71" s="394">
        <v>4.8</v>
      </c>
      <c r="F71" s="434"/>
      <c r="G71" s="435"/>
      <c r="H71" s="436"/>
      <c r="I71" s="437"/>
      <c r="J71" s="438">
        <v>2.9</v>
      </c>
      <c r="K71" s="435">
        <v>3500</v>
      </c>
      <c r="L71" s="436">
        <v>2.35</v>
      </c>
      <c r="M71" s="437">
        <v>6000</v>
      </c>
      <c r="N71" s="438">
        <v>2.35</v>
      </c>
      <c r="O71" s="439">
        <v>6000</v>
      </c>
      <c r="P71" s="401">
        <v>6000</v>
      </c>
      <c r="Q71" s="402">
        <v>1.45</v>
      </c>
      <c r="R71" s="403">
        <v>2.38</v>
      </c>
      <c r="S71" s="404">
        <v>9.1999999999999993</v>
      </c>
      <c r="T71" s="405">
        <v>47.5</v>
      </c>
      <c r="U71" s="406">
        <v>10</v>
      </c>
      <c r="V71" s="373"/>
      <c r="W71" s="391" t="s">
        <v>537</v>
      </c>
    </row>
    <row r="72" spans="1:23">
      <c r="A72" s="444" t="s">
        <v>548</v>
      </c>
      <c r="B72" s="445">
        <v>11.5</v>
      </c>
      <c r="C72" s="449">
        <v>24</v>
      </c>
      <c r="D72" s="445">
        <v>3.54</v>
      </c>
      <c r="E72" s="445">
        <v>6</v>
      </c>
      <c r="F72" s="438"/>
      <c r="G72" s="435"/>
      <c r="H72" s="436">
        <v>3.2</v>
      </c>
      <c r="I72" s="437">
        <v>2000</v>
      </c>
      <c r="J72" s="438">
        <v>2.72</v>
      </c>
      <c r="K72" s="435">
        <v>4500</v>
      </c>
      <c r="L72" s="436"/>
      <c r="M72" s="437"/>
      <c r="N72" s="438"/>
      <c r="O72" s="435"/>
      <c r="P72" s="445">
        <v>6000</v>
      </c>
      <c r="Q72" s="445">
        <v>1.5</v>
      </c>
      <c r="R72" s="391">
        <v>1.65</v>
      </c>
      <c r="S72" s="391">
        <v>6</v>
      </c>
      <c r="T72" s="447">
        <v>38.299999999999997</v>
      </c>
      <c r="U72" s="391">
        <v>10</v>
      </c>
      <c r="V72" s="373"/>
      <c r="W72" s="373"/>
    </row>
    <row r="73" spans="1:23">
      <c r="A73" s="392" t="s">
        <v>92</v>
      </c>
      <c r="B73" s="425">
        <v>11.6</v>
      </c>
      <c r="C73" s="425">
        <v>33.6</v>
      </c>
      <c r="D73" s="391">
        <v>3.56</v>
      </c>
      <c r="E73" s="394">
        <v>8.4</v>
      </c>
      <c r="F73" s="434"/>
      <c r="G73" s="435"/>
      <c r="H73" s="436">
        <v>3.03</v>
      </c>
      <c r="I73" s="437">
        <v>3000</v>
      </c>
      <c r="J73" s="438">
        <v>2.38</v>
      </c>
      <c r="K73" s="435">
        <v>6000</v>
      </c>
      <c r="L73" s="436"/>
      <c r="M73" s="437"/>
      <c r="N73" s="438"/>
      <c r="O73" s="439"/>
      <c r="P73" s="401">
        <v>6000</v>
      </c>
      <c r="Q73" s="402">
        <v>1.45</v>
      </c>
      <c r="R73" s="403">
        <v>0.8</v>
      </c>
      <c r="S73" s="404">
        <v>3.1</v>
      </c>
      <c r="T73" s="405">
        <v>27.5</v>
      </c>
      <c r="U73" s="406">
        <v>10</v>
      </c>
      <c r="V73" s="373"/>
      <c r="W73" s="391" t="s">
        <v>537</v>
      </c>
    </row>
    <row r="74" spans="1:23">
      <c r="A74" s="392" t="s">
        <v>549</v>
      </c>
      <c r="B74" s="425">
        <v>15.9</v>
      </c>
      <c r="C74" s="425">
        <v>11</v>
      </c>
      <c r="D74" s="391">
        <v>4.7</v>
      </c>
      <c r="E74" s="394">
        <v>2.76</v>
      </c>
      <c r="F74" s="434"/>
      <c r="G74" s="435"/>
      <c r="H74" s="436"/>
      <c r="I74" s="437"/>
      <c r="J74" s="438">
        <v>4.24</v>
      </c>
      <c r="K74" s="435">
        <v>1500</v>
      </c>
      <c r="L74" s="436">
        <v>3.92</v>
      </c>
      <c r="M74" s="437">
        <v>2500</v>
      </c>
      <c r="N74" s="438">
        <v>3.76</v>
      </c>
      <c r="O74" s="439">
        <v>3000</v>
      </c>
      <c r="P74" s="401">
        <v>6000</v>
      </c>
      <c r="Q74" s="402">
        <v>2.09</v>
      </c>
      <c r="R74" s="403">
        <v>8.0399999999999991</v>
      </c>
      <c r="S74" s="404">
        <v>32.6</v>
      </c>
      <c r="T74" s="405">
        <v>111</v>
      </c>
      <c r="U74" s="406">
        <v>10</v>
      </c>
      <c r="V74" s="373"/>
      <c r="W74" s="391" t="s">
        <v>537</v>
      </c>
    </row>
    <row r="75" spans="1:23">
      <c r="A75" s="392" t="s">
        <v>550</v>
      </c>
      <c r="B75" s="425">
        <v>16.100000000000001</v>
      </c>
      <c r="C75" s="425">
        <v>19.5</v>
      </c>
      <c r="D75" s="391">
        <v>4.8</v>
      </c>
      <c r="E75" s="394">
        <v>4.87</v>
      </c>
      <c r="F75" s="434"/>
      <c r="G75" s="435"/>
      <c r="H75" s="436"/>
      <c r="I75" s="437"/>
      <c r="J75" s="438">
        <v>4</v>
      </c>
      <c r="K75" s="435">
        <v>2500</v>
      </c>
      <c r="L75" s="436">
        <v>3.01</v>
      </c>
      <c r="M75" s="437">
        <v>5000</v>
      </c>
      <c r="N75" s="438">
        <v>2.57</v>
      </c>
      <c r="O75" s="439">
        <v>6000</v>
      </c>
      <c r="P75" s="401">
        <v>6000</v>
      </c>
      <c r="Q75" s="402">
        <v>2.09</v>
      </c>
      <c r="R75" s="403">
        <v>2.61</v>
      </c>
      <c r="S75" s="404">
        <v>10.8</v>
      </c>
      <c r="T75" s="405">
        <v>63.9</v>
      </c>
      <c r="U75" s="406">
        <v>10</v>
      </c>
      <c r="V75" s="373"/>
      <c r="W75" s="391" t="s">
        <v>537</v>
      </c>
    </row>
    <row r="76" spans="1:23">
      <c r="A76" s="444" t="s">
        <v>358</v>
      </c>
      <c r="B76" s="445">
        <v>16.100000000000001</v>
      </c>
      <c r="C76" s="446">
        <v>22</v>
      </c>
      <c r="D76" s="445">
        <v>4.82</v>
      </c>
      <c r="E76" s="445">
        <v>5.4</v>
      </c>
      <c r="F76" s="438"/>
      <c r="G76" s="435"/>
      <c r="H76" s="436"/>
      <c r="I76" s="437"/>
      <c r="J76" s="438">
        <v>3.86</v>
      </c>
      <c r="K76" s="435">
        <v>3000</v>
      </c>
      <c r="L76" s="436">
        <v>2.58</v>
      </c>
      <c r="M76" s="437">
        <v>6000</v>
      </c>
      <c r="N76" s="438"/>
      <c r="O76" s="435"/>
      <c r="P76" s="445">
        <v>6000</v>
      </c>
      <c r="Q76" s="445">
        <v>2.1</v>
      </c>
      <c r="R76" s="391">
        <v>2.1</v>
      </c>
      <c r="S76" s="391">
        <v>6.8</v>
      </c>
      <c r="T76" s="447">
        <v>57.4</v>
      </c>
      <c r="U76" s="391">
        <v>10</v>
      </c>
      <c r="V76" s="373"/>
      <c r="W76" s="373"/>
    </row>
    <row r="77" spans="1:23">
      <c r="A77" s="392" t="s">
        <v>551</v>
      </c>
      <c r="B77" s="425">
        <v>16.399999999999999</v>
      </c>
      <c r="C77" s="425">
        <v>38.4</v>
      </c>
      <c r="D77" s="391">
        <v>4.9000000000000004</v>
      </c>
      <c r="E77" s="394">
        <v>9.6</v>
      </c>
      <c r="F77" s="434"/>
      <c r="G77" s="435"/>
      <c r="H77" s="436">
        <v>4.08</v>
      </c>
      <c r="I77" s="437">
        <v>2500</v>
      </c>
      <c r="J77" s="438">
        <v>2.62</v>
      </c>
      <c r="K77" s="435">
        <v>6000</v>
      </c>
      <c r="L77" s="436"/>
      <c r="M77" s="437"/>
      <c r="N77" s="438"/>
      <c r="O77" s="439"/>
      <c r="P77" s="401">
        <v>6000</v>
      </c>
      <c r="Q77" s="402">
        <v>2.09</v>
      </c>
      <c r="R77" s="403">
        <v>0.7</v>
      </c>
      <c r="S77" s="404">
        <v>2.9</v>
      </c>
      <c r="T77" s="405">
        <v>33.200000000000003</v>
      </c>
      <c r="U77" s="406">
        <v>10</v>
      </c>
      <c r="V77" s="373"/>
      <c r="W77" s="391" t="s">
        <v>537</v>
      </c>
    </row>
    <row r="78" spans="1:23">
      <c r="A78" s="444" t="s">
        <v>93</v>
      </c>
      <c r="B78" s="445">
        <v>16.399999999999999</v>
      </c>
      <c r="C78" s="446">
        <v>47.3</v>
      </c>
      <c r="D78" s="445">
        <v>4.7300000000000004</v>
      </c>
      <c r="E78" s="445">
        <v>11.2</v>
      </c>
      <c r="F78" s="438"/>
      <c r="G78" s="435"/>
      <c r="H78" s="436">
        <v>3.78</v>
      </c>
      <c r="I78" s="437">
        <v>3000</v>
      </c>
      <c r="J78" s="438">
        <v>2.5299999999999998</v>
      </c>
      <c r="K78" s="435">
        <v>6000</v>
      </c>
      <c r="L78" s="436"/>
      <c r="M78" s="437"/>
      <c r="N78" s="438"/>
      <c r="O78" s="435"/>
      <c r="P78" s="445">
        <v>6000</v>
      </c>
      <c r="Q78" s="445">
        <v>2.1</v>
      </c>
      <c r="R78" s="391">
        <v>0.56999999999999995</v>
      </c>
      <c r="S78" s="391">
        <v>2</v>
      </c>
      <c r="T78" s="447">
        <v>27.5</v>
      </c>
      <c r="U78" s="391">
        <v>10</v>
      </c>
      <c r="V78" s="373"/>
      <c r="W78" s="373"/>
    </row>
    <row r="79" spans="1:23">
      <c r="A79" s="392" t="s">
        <v>552</v>
      </c>
      <c r="B79" s="425">
        <v>19.899999999999999</v>
      </c>
      <c r="C79" s="425">
        <v>11.4</v>
      </c>
      <c r="D79" s="391">
        <v>5.76</v>
      </c>
      <c r="E79" s="394">
        <v>2.85</v>
      </c>
      <c r="F79" s="434"/>
      <c r="G79" s="435"/>
      <c r="H79" s="436"/>
      <c r="I79" s="437"/>
      <c r="J79" s="438">
        <v>5.2</v>
      </c>
      <c r="K79" s="435">
        <v>1200</v>
      </c>
      <c r="L79" s="436">
        <v>4.8</v>
      </c>
      <c r="M79" s="437">
        <v>2000</v>
      </c>
      <c r="N79" s="438">
        <v>4.5599999999999996</v>
      </c>
      <c r="O79" s="439">
        <v>2500</v>
      </c>
      <c r="P79" s="401">
        <v>6000</v>
      </c>
      <c r="Q79" s="402">
        <v>2.73</v>
      </c>
      <c r="R79" s="403">
        <v>8.08</v>
      </c>
      <c r="S79" s="404">
        <v>33.9</v>
      </c>
      <c r="T79" s="405">
        <v>132</v>
      </c>
      <c r="U79" s="406">
        <v>10</v>
      </c>
      <c r="V79" s="373"/>
      <c r="W79" s="391" t="s">
        <v>537</v>
      </c>
    </row>
    <row r="80" spans="1:23">
      <c r="A80" s="392" t="s">
        <v>553</v>
      </c>
      <c r="B80" s="425">
        <v>20.3</v>
      </c>
      <c r="C80" s="425">
        <v>20</v>
      </c>
      <c r="D80" s="391">
        <v>5.88</v>
      </c>
      <c r="E80" s="394">
        <v>5</v>
      </c>
      <c r="F80" s="434"/>
      <c r="G80" s="435"/>
      <c r="H80" s="436"/>
      <c r="I80" s="437"/>
      <c r="J80" s="438">
        <v>4.9000000000000004</v>
      </c>
      <c r="K80" s="435">
        <v>2000</v>
      </c>
      <c r="L80" s="436">
        <v>3.76</v>
      </c>
      <c r="M80" s="437">
        <v>4000</v>
      </c>
      <c r="N80" s="438">
        <v>3.19</v>
      </c>
      <c r="O80" s="439">
        <v>5000</v>
      </c>
      <c r="P80" s="401">
        <v>6000</v>
      </c>
      <c r="Q80" s="402">
        <v>2.73</v>
      </c>
      <c r="R80" s="403">
        <v>2.65</v>
      </c>
      <c r="S80" s="404">
        <v>11.5</v>
      </c>
      <c r="T80" s="405">
        <v>76.599999999999994</v>
      </c>
      <c r="U80" s="406">
        <v>10</v>
      </c>
      <c r="V80" s="373"/>
      <c r="W80" s="391" t="s">
        <v>537</v>
      </c>
    </row>
    <row r="81" spans="1:91">
      <c r="A81" s="444" t="s">
        <v>350</v>
      </c>
      <c r="B81" s="445">
        <v>20.3</v>
      </c>
      <c r="C81" s="446">
        <v>23.5</v>
      </c>
      <c r="D81" s="445">
        <v>5.89</v>
      </c>
      <c r="E81" s="445">
        <v>5.6</v>
      </c>
      <c r="F81" s="438"/>
      <c r="G81" s="435"/>
      <c r="H81" s="436"/>
      <c r="I81" s="437"/>
      <c r="J81" s="438">
        <v>4.66</v>
      </c>
      <c r="K81" s="435">
        <v>2500</v>
      </c>
      <c r="L81" s="436">
        <v>3.19</v>
      </c>
      <c r="M81" s="437">
        <v>5000</v>
      </c>
      <c r="N81" s="438">
        <v>2.7</v>
      </c>
      <c r="O81" s="435">
        <v>6000</v>
      </c>
      <c r="P81" s="445">
        <v>6000</v>
      </c>
      <c r="Q81" s="445">
        <v>2.7</v>
      </c>
      <c r="R81" s="391">
        <v>2.23</v>
      </c>
      <c r="S81" s="391">
        <v>9.1</v>
      </c>
      <c r="T81" s="447">
        <v>68</v>
      </c>
      <c r="U81" s="391">
        <v>10</v>
      </c>
      <c r="V81" s="373"/>
      <c r="W81" s="373"/>
    </row>
    <row r="82" spans="1:91">
      <c r="A82" s="392" t="s">
        <v>94</v>
      </c>
      <c r="B82" s="425">
        <v>20.399999999999999</v>
      </c>
      <c r="C82" s="425">
        <v>35.200000000000003</v>
      </c>
      <c r="D82" s="391">
        <v>6</v>
      </c>
      <c r="E82" s="394">
        <v>8.8000000000000007</v>
      </c>
      <c r="F82" s="434"/>
      <c r="G82" s="435"/>
      <c r="H82" s="436">
        <v>5</v>
      </c>
      <c r="I82" s="437">
        <v>2000</v>
      </c>
      <c r="J82" s="438">
        <v>3.84</v>
      </c>
      <c r="K82" s="435">
        <v>4000</v>
      </c>
      <c r="L82" s="436">
        <v>2.75</v>
      </c>
      <c r="M82" s="437">
        <v>6000</v>
      </c>
      <c r="N82" s="438">
        <v>2.75</v>
      </c>
      <c r="O82" s="439">
        <v>6000</v>
      </c>
      <c r="P82" s="401">
        <v>6000</v>
      </c>
      <c r="Q82" s="402">
        <v>2.73</v>
      </c>
      <c r="R82" s="403">
        <v>0.88</v>
      </c>
      <c r="S82" s="404">
        <v>3.8</v>
      </c>
      <c r="T82" s="405">
        <v>44.2</v>
      </c>
      <c r="U82" s="406">
        <v>10</v>
      </c>
      <c r="V82" s="373"/>
      <c r="W82" s="391" t="s">
        <v>537</v>
      </c>
    </row>
    <row r="83" spans="1:91">
      <c r="A83" s="444" t="s">
        <v>554</v>
      </c>
      <c r="B83" s="445">
        <v>20.399999999999999</v>
      </c>
      <c r="C83" s="446">
        <v>42.7</v>
      </c>
      <c r="D83" s="445">
        <v>5.88</v>
      </c>
      <c r="E83" s="445">
        <v>10.1</v>
      </c>
      <c r="F83" s="438"/>
      <c r="G83" s="435"/>
      <c r="H83" s="436">
        <v>4.9000000000000004</v>
      </c>
      <c r="I83" s="437">
        <v>2000</v>
      </c>
      <c r="J83" s="438">
        <v>3.18</v>
      </c>
      <c r="K83" s="435">
        <v>5000</v>
      </c>
      <c r="L83" s="436"/>
      <c r="M83" s="437"/>
      <c r="N83" s="438"/>
      <c r="O83" s="435"/>
      <c r="P83" s="445">
        <v>6000</v>
      </c>
      <c r="Q83" s="445">
        <v>2.7</v>
      </c>
      <c r="R83" s="391">
        <v>0.68</v>
      </c>
      <c r="S83" s="391">
        <v>2.8</v>
      </c>
      <c r="T83" s="447">
        <v>37.799999999999997</v>
      </c>
      <c r="U83" s="391">
        <v>10</v>
      </c>
      <c r="V83" s="373"/>
      <c r="W83" s="373"/>
    </row>
    <row r="84" spans="1:91">
      <c r="A84" s="392" t="s">
        <v>555</v>
      </c>
      <c r="B84" s="425">
        <v>11.6</v>
      </c>
      <c r="C84" s="425">
        <v>8.1999999999999993</v>
      </c>
      <c r="D84" s="391">
        <v>4.7</v>
      </c>
      <c r="E84" s="394">
        <v>2.75</v>
      </c>
      <c r="F84" s="434"/>
      <c r="G84" s="435"/>
      <c r="H84" s="436"/>
      <c r="I84" s="437"/>
      <c r="J84" s="438">
        <v>4.41</v>
      </c>
      <c r="K84" s="435">
        <v>1200</v>
      </c>
      <c r="L84" s="436">
        <v>3.98</v>
      </c>
      <c r="M84" s="437">
        <v>2500</v>
      </c>
      <c r="N84" s="438">
        <v>3.8</v>
      </c>
      <c r="O84" s="439">
        <v>3000</v>
      </c>
      <c r="P84" s="401">
        <v>6000</v>
      </c>
      <c r="Q84" s="402">
        <v>3.42</v>
      </c>
      <c r="R84" s="403">
        <v>8.4700000000000006</v>
      </c>
      <c r="S84" s="404">
        <v>36.6</v>
      </c>
      <c r="T84" s="405">
        <v>110</v>
      </c>
      <c r="U84" s="406">
        <v>10</v>
      </c>
      <c r="V84" s="373"/>
      <c r="W84" s="391" t="s">
        <v>537</v>
      </c>
    </row>
    <row r="85" spans="1:91">
      <c r="A85" s="392" t="s">
        <v>556</v>
      </c>
      <c r="B85" s="425">
        <v>11.7</v>
      </c>
      <c r="C85" s="425">
        <v>14.5</v>
      </c>
      <c r="D85" s="391">
        <v>4.75</v>
      </c>
      <c r="E85" s="394">
        <v>4.84</v>
      </c>
      <c r="F85" s="434"/>
      <c r="G85" s="435"/>
      <c r="H85" s="436"/>
      <c r="I85" s="437"/>
      <c r="J85" s="438">
        <v>4.03</v>
      </c>
      <c r="K85" s="435">
        <v>2500</v>
      </c>
      <c r="L85" s="436">
        <v>2.62</v>
      </c>
      <c r="M85" s="437">
        <v>5000</v>
      </c>
      <c r="N85" s="438">
        <v>1.94</v>
      </c>
      <c r="O85" s="439">
        <v>6000</v>
      </c>
      <c r="P85" s="401">
        <v>6000</v>
      </c>
      <c r="Q85" s="402">
        <v>3.42</v>
      </c>
      <c r="R85" s="403">
        <v>2.75</v>
      </c>
      <c r="S85" s="404">
        <v>12.1</v>
      </c>
      <c r="T85" s="405">
        <v>63.6</v>
      </c>
      <c r="U85" s="406">
        <v>10</v>
      </c>
      <c r="V85" s="373"/>
      <c r="W85" s="391" t="s">
        <v>537</v>
      </c>
    </row>
    <row r="86" spans="1:91">
      <c r="A86" s="448" t="s">
        <v>557</v>
      </c>
      <c r="B86" s="445">
        <v>11.7</v>
      </c>
      <c r="C86" s="445">
        <v>18</v>
      </c>
      <c r="D86" s="445">
        <v>4.79</v>
      </c>
      <c r="E86" s="445">
        <v>6</v>
      </c>
      <c r="F86" s="438"/>
      <c r="G86" s="435"/>
      <c r="H86" s="436"/>
      <c r="I86" s="437"/>
      <c r="J86" s="438">
        <v>3.87</v>
      </c>
      <c r="K86" s="435">
        <v>3000</v>
      </c>
      <c r="L86" s="436">
        <v>1.95</v>
      </c>
      <c r="M86" s="437">
        <v>6000</v>
      </c>
      <c r="N86" s="438">
        <v>1.95</v>
      </c>
      <c r="O86" s="435">
        <v>6000</v>
      </c>
      <c r="P86" s="445">
        <v>6000</v>
      </c>
      <c r="Q86" s="445">
        <v>3.4</v>
      </c>
      <c r="R86" s="391">
        <v>1.97</v>
      </c>
      <c r="S86" s="391">
        <v>7.9</v>
      </c>
      <c r="T86" s="447">
        <v>51.3</v>
      </c>
      <c r="U86" s="391">
        <v>10</v>
      </c>
      <c r="V86" s="373"/>
      <c r="W86" s="373"/>
    </row>
    <row r="87" spans="1:91" s="460" customFormat="1">
      <c r="A87" s="450" t="s">
        <v>558</v>
      </c>
      <c r="B87" s="451">
        <v>11.8</v>
      </c>
      <c r="C87" s="452">
        <v>22.5</v>
      </c>
      <c r="D87" s="451">
        <v>4.83</v>
      </c>
      <c r="E87" s="451">
        <v>7.5</v>
      </c>
      <c r="F87" s="453"/>
      <c r="G87" s="435"/>
      <c r="H87" s="436">
        <v>4.3499999999999996</v>
      </c>
      <c r="I87" s="454">
        <v>1750</v>
      </c>
      <c r="J87" s="453">
        <v>3.35</v>
      </c>
      <c r="K87" s="455">
        <v>4000</v>
      </c>
      <c r="L87" s="456">
        <v>1.97</v>
      </c>
      <c r="M87" s="454">
        <v>6000</v>
      </c>
      <c r="N87" s="453">
        <v>1.97</v>
      </c>
      <c r="O87" s="455">
        <v>6000</v>
      </c>
      <c r="P87" s="451">
        <v>6000</v>
      </c>
      <c r="Q87" s="451">
        <v>3.4</v>
      </c>
      <c r="R87" s="457">
        <v>1.3</v>
      </c>
      <c r="S87" s="457">
        <v>5.15</v>
      </c>
      <c r="T87" s="458">
        <v>41.4</v>
      </c>
      <c r="U87" s="457">
        <v>10</v>
      </c>
      <c r="V87" s="459"/>
      <c r="W87" s="459"/>
    </row>
    <row r="88" spans="1:91">
      <c r="A88" s="392" t="s">
        <v>559</v>
      </c>
      <c r="B88" s="425">
        <v>11.9</v>
      </c>
      <c r="C88" s="425">
        <v>28.2</v>
      </c>
      <c r="D88" s="391">
        <v>4.9000000000000004</v>
      </c>
      <c r="E88" s="394">
        <v>9.4</v>
      </c>
      <c r="F88" s="434"/>
      <c r="G88" s="435"/>
      <c r="H88" s="436">
        <v>4.1500000000000004</v>
      </c>
      <c r="I88" s="437">
        <v>2500</v>
      </c>
      <c r="J88" s="438">
        <v>2.35</v>
      </c>
      <c r="K88" s="435">
        <v>5500</v>
      </c>
      <c r="L88" s="436"/>
      <c r="M88" s="437"/>
      <c r="N88" s="438"/>
      <c r="O88" s="439"/>
      <c r="P88" s="401">
        <v>6000</v>
      </c>
      <c r="Q88" s="402">
        <v>3.42</v>
      </c>
      <c r="R88" s="403">
        <v>0.75</v>
      </c>
      <c r="S88" s="404">
        <v>3.4</v>
      </c>
      <c r="T88" s="405">
        <v>33.5</v>
      </c>
      <c r="U88" s="406">
        <v>10</v>
      </c>
      <c r="V88" s="373"/>
      <c r="W88" s="391" t="s">
        <v>537</v>
      </c>
    </row>
    <row r="89" spans="1:91" s="460" customFormat="1">
      <c r="A89" s="450" t="s">
        <v>560</v>
      </c>
      <c r="B89" s="451">
        <v>11.9</v>
      </c>
      <c r="C89" s="461">
        <v>35</v>
      </c>
      <c r="D89" s="451">
        <v>4.8899999999999997</v>
      </c>
      <c r="E89" s="451">
        <v>11.9</v>
      </c>
      <c r="F89" s="453"/>
      <c r="G89" s="435"/>
      <c r="H89" s="436">
        <v>3.95</v>
      </c>
      <c r="I89" s="454">
        <v>3000</v>
      </c>
      <c r="J89" s="453">
        <v>2</v>
      </c>
      <c r="K89" s="455">
        <v>6000</v>
      </c>
      <c r="L89" s="456"/>
      <c r="M89" s="437"/>
      <c r="N89" s="438"/>
      <c r="O89" s="435"/>
      <c r="P89" s="445">
        <v>6000</v>
      </c>
      <c r="Q89" s="451">
        <v>3.4</v>
      </c>
      <c r="R89" s="457">
        <v>0.56000000000000005</v>
      </c>
      <c r="S89" s="457">
        <v>2.1</v>
      </c>
      <c r="T89" s="458">
        <v>26.6</v>
      </c>
      <c r="U89" s="457">
        <v>10</v>
      </c>
      <c r="V89" s="459"/>
      <c r="W89" s="459"/>
      <c r="X89" s="462"/>
      <c r="Y89" s="462"/>
      <c r="Z89" s="462"/>
      <c r="AA89" s="462"/>
      <c r="AB89" s="463"/>
      <c r="AC89" s="464"/>
      <c r="AD89" s="465"/>
      <c r="AE89" s="466"/>
      <c r="AF89" s="463"/>
      <c r="AG89" s="463"/>
      <c r="AH89" s="466"/>
      <c r="AI89" s="465"/>
      <c r="AJ89" s="464"/>
      <c r="AK89" s="464"/>
      <c r="AL89" s="467"/>
      <c r="AM89" s="462"/>
      <c r="AN89" s="468"/>
      <c r="AO89" s="468"/>
      <c r="AP89" s="468"/>
      <c r="AQ89" s="468"/>
      <c r="AR89" s="469"/>
      <c r="AS89" s="469"/>
      <c r="AT89" s="469"/>
      <c r="AU89" s="469"/>
      <c r="AV89" s="469"/>
      <c r="AW89" s="469"/>
      <c r="AX89" s="469"/>
      <c r="AY89" s="469"/>
      <c r="AZ89" s="469"/>
      <c r="BA89" s="469"/>
      <c r="BB89" s="469"/>
      <c r="BC89" s="469"/>
      <c r="BD89" s="469"/>
      <c r="BE89" s="469"/>
      <c r="BF89" s="469"/>
      <c r="BG89" s="469"/>
      <c r="BH89" s="469"/>
      <c r="BI89" s="469"/>
      <c r="BJ89" s="469"/>
      <c r="BK89" s="469"/>
      <c r="BL89" s="469"/>
      <c r="BM89" s="469"/>
      <c r="BN89" s="469"/>
      <c r="BO89" s="469"/>
      <c r="BP89" s="469"/>
      <c r="BQ89" s="469"/>
      <c r="BR89" s="469"/>
      <c r="BS89" s="469"/>
      <c r="BT89" s="469"/>
      <c r="BU89" s="469"/>
      <c r="BV89" s="469"/>
      <c r="BW89" s="469"/>
      <c r="BX89" s="469"/>
      <c r="BY89" s="469"/>
      <c r="BZ89" s="469"/>
      <c r="CA89" s="469"/>
      <c r="CB89" s="469"/>
      <c r="CC89" s="469"/>
      <c r="CD89" s="469"/>
      <c r="CE89" s="469"/>
      <c r="CF89" s="469"/>
      <c r="CG89" s="469"/>
      <c r="CH89" s="469"/>
      <c r="CI89" s="469"/>
      <c r="CJ89" s="469"/>
      <c r="CK89" s="469"/>
      <c r="CL89" s="469"/>
      <c r="CM89" s="469"/>
    </row>
    <row r="90" spans="1:91">
      <c r="A90" s="392" t="s">
        <v>561</v>
      </c>
      <c r="B90" s="425">
        <v>21.3</v>
      </c>
      <c r="C90" s="425">
        <v>9</v>
      </c>
      <c r="D90" s="391">
        <v>8.34</v>
      </c>
      <c r="E90" s="394">
        <v>2.99</v>
      </c>
      <c r="F90" s="434"/>
      <c r="G90" s="435"/>
      <c r="H90" s="436"/>
      <c r="I90" s="437"/>
      <c r="J90" s="438"/>
      <c r="K90" s="435"/>
      <c r="L90" s="436">
        <v>7.61</v>
      </c>
      <c r="M90" s="437">
        <v>1500</v>
      </c>
      <c r="N90" s="438">
        <v>7.28</v>
      </c>
      <c r="O90" s="439">
        <v>2000</v>
      </c>
      <c r="P90" s="401">
        <v>6000</v>
      </c>
      <c r="Q90" s="402">
        <v>6.22</v>
      </c>
      <c r="R90" s="403">
        <v>8.59</v>
      </c>
      <c r="S90" s="404">
        <v>44.7</v>
      </c>
      <c r="T90" s="405">
        <v>179</v>
      </c>
      <c r="U90" s="406">
        <v>10</v>
      </c>
      <c r="V90" s="373"/>
      <c r="W90" s="391" t="s">
        <v>537</v>
      </c>
    </row>
    <row r="91" spans="1:91">
      <c r="A91" s="392" t="s">
        <v>562</v>
      </c>
      <c r="B91" s="425">
        <v>21.5</v>
      </c>
      <c r="C91" s="425">
        <v>14.2</v>
      </c>
      <c r="D91" s="391">
        <v>8.43</v>
      </c>
      <c r="E91" s="394">
        <v>4.72</v>
      </c>
      <c r="F91" s="434"/>
      <c r="G91" s="435"/>
      <c r="H91" s="436"/>
      <c r="I91" s="437"/>
      <c r="J91" s="438">
        <v>7.69</v>
      </c>
      <c r="K91" s="435">
        <v>1500</v>
      </c>
      <c r="L91" s="436">
        <v>7.06</v>
      </c>
      <c r="M91" s="437">
        <v>2500</v>
      </c>
      <c r="N91" s="438">
        <v>6.66</v>
      </c>
      <c r="O91" s="439">
        <v>3000</v>
      </c>
      <c r="P91" s="401">
        <v>6000</v>
      </c>
      <c r="Q91" s="402">
        <v>6.22</v>
      </c>
      <c r="R91" s="403">
        <v>3.47</v>
      </c>
      <c r="S91" s="404">
        <v>18.5</v>
      </c>
      <c r="T91" s="405">
        <v>115</v>
      </c>
      <c r="U91" s="406">
        <v>10</v>
      </c>
      <c r="V91" s="373"/>
      <c r="W91" s="391" t="s">
        <v>537</v>
      </c>
    </row>
    <row r="92" spans="1:91" s="460" customFormat="1">
      <c r="A92" s="450" t="s">
        <v>563</v>
      </c>
      <c r="B92" s="451">
        <v>21.6</v>
      </c>
      <c r="C92" s="451">
        <v>17.7</v>
      </c>
      <c r="D92" s="451">
        <v>8.48</v>
      </c>
      <c r="E92" s="451">
        <v>5.9</v>
      </c>
      <c r="F92" s="453"/>
      <c r="G92" s="435"/>
      <c r="H92" s="436"/>
      <c r="I92" s="437"/>
      <c r="J92" s="438">
        <v>7.53</v>
      </c>
      <c r="K92" s="455">
        <v>1800</v>
      </c>
      <c r="L92" s="456">
        <v>6.26</v>
      </c>
      <c r="M92" s="454">
        <v>3500</v>
      </c>
      <c r="N92" s="453">
        <v>5.77</v>
      </c>
      <c r="O92" s="455">
        <v>4000</v>
      </c>
      <c r="P92" s="451">
        <v>6000</v>
      </c>
      <c r="Q92" s="451">
        <v>6.2</v>
      </c>
      <c r="R92" s="457">
        <v>2.35</v>
      </c>
      <c r="S92" s="457">
        <v>11.9</v>
      </c>
      <c r="T92" s="458">
        <v>92.7</v>
      </c>
      <c r="U92" s="457">
        <v>10</v>
      </c>
      <c r="V92" s="459"/>
      <c r="W92" s="459"/>
    </row>
    <row r="93" spans="1:91" s="460" customFormat="1">
      <c r="A93" s="450" t="s">
        <v>564</v>
      </c>
      <c r="B93" s="451">
        <v>21.6</v>
      </c>
      <c r="C93" s="452">
        <v>22.2</v>
      </c>
      <c r="D93" s="451">
        <v>8.5299999999999994</v>
      </c>
      <c r="E93" s="451">
        <v>7.4</v>
      </c>
      <c r="F93" s="453"/>
      <c r="G93" s="435"/>
      <c r="H93" s="436"/>
      <c r="I93" s="437"/>
      <c r="J93" s="438">
        <v>5.79</v>
      </c>
      <c r="K93" s="455">
        <v>2250</v>
      </c>
      <c r="L93" s="456">
        <v>5.16</v>
      </c>
      <c r="M93" s="454">
        <v>4500</v>
      </c>
      <c r="N93" s="453">
        <v>4.51</v>
      </c>
      <c r="O93" s="455">
        <v>5000</v>
      </c>
      <c r="P93" s="451">
        <v>6000</v>
      </c>
      <c r="Q93" s="451">
        <v>6.2</v>
      </c>
      <c r="R93" s="457">
        <v>1.57</v>
      </c>
      <c r="S93" s="457">
        <v>7.8</v>
      </c>
      <c r="T93" s="458">
        <v>74.900000000000006</v>
      </c>
      <c r="U93" s="457">
        <v>10</v>
      </c>
      <c r="V93" s="459"/>
      <c r="W93" s="459"/>
    </row>
    <row r="94" spans="1:91">
      <c r="A94" s="392" t="s">
        <v>565</v>
      </c>
      <c r="B94" s="425">
        <v>21.9</v>
      </c>
      <c r="C94" s="425">
        <v>27.9</v>
      </c>
      <c r="D94" s="391">
        <v>8.6</v>
      </c>
      <c r="E94" s="394">
        <v>9.3000000000000007</v>
      </c>
      <c r="F94" s="434"/>
      <c r="G94" s="435"/>
      <c r="H94" s="436"/>
      <c r="I94" s="437"/>
      <c r="J94" s="438">
        <v>6.8</v>
      </c>
      <c r="K94" s="435">
        <v>3000</v>
      </c>
      <c r="L94" s="436">
        <v>3.9</v>
      </c>
      <c r="M94" s="437">
        <v>5500</v>
      </c>
      <c r="N94" s="438">
        <v>3.25</v>
      </c>
      <c r="O94" s="439">
        <v>6000</v>
      </c>
      <c r="P94" s="401">
        <v>6000</v>
      </c>
      <c r="Q94" s="402">
        <v>6.22</v>
      </c>
      <c r="R94" s="403">
        <v>0.93</v>
      </c>
      <c r="S94" s="404">
        <v>5</v>
      </c>
      <c r="T94" s="405">
        <v>60.1</v>
      </c>
      <c r="U94" s="406">
        <v>10</v>
      </c>
      <c r="V94" s="373"/>
      <c r="W94" s="391" t="s">
        <v>537</v>
      </c>
    </row>
    <row r="95" spans="1:91" s="460" customFormat="1">
      <c r="A95" s="450" t="s">
        <v>566</v>
      </c>
      <c r="B95" s="451">
        <v>21.9</v>
      </c>
      <c r="C95" s="461">
        <v>35.700000000000003</v>
      </c>
      <c r="D95" s="451">
        <v>8.67</v>
      </c>
      <c r="E95" s="451">
        <v>11.6</v>
      </c>
      <c r="F95" s="453"/>
      <c r="G95" s="435"/>
      <c r="H95" s="436"/>
      <c r="I95" s="437"/>
      <c r="J95" s="438">
        <v>6.4</v>
      </c>
      <c r="K95" s="455">
        <v>3500</v>
      </c>
      <c r="L95" s="456">
        <v>3.27</v>
      </c>
      <c r="M95" s="454">
        <v>6000</v>
      </c>
      <c r="N95" s="453">
        <v>3.27</v>
      </c>
      <c r="O95" s="455">
        <v>6000</v>
      </c>
      <c r="P95" s="451">
        <v>6000</v>
      </c>
      <c r="Q95" s="451">
        <v>6.2</v>
      </c>
      <c r="R95" s="457">
        <v>0.61</v>
      </c>
      <c r="S95" s="457">
        <v>3.24</v>
      </c>
      <c r="T95" s="458">
        <v>48.3</v>
      </c>
      <c r="U95" s="457">
        <v>10</v>
      </c>
      <c r="V95" s="459"/>
      <c r="W95" s="459"/>
    </row>
    <row r="96" spans="1:91">
      <c r="A96" s="392" t="s">
        <v>567</v>
      </c>
      <c r="B96" s="425">
        <v>21.9</v>
      </c>
      <c r="C96" s="425">
        <v>39.4</v>
      </c>
      <c r="D96" s="391">
        <v>8.6</v>
      </c>
      <c r="E96" s="394">
        <v>13.1</v>
      </c>
      <c r="F96" s="434"/>
      <c r="G96" s="435"/>
      <c r="H96" s="436"/>
      <c r="I96" s="437"/>
      <c r="J96" s="438">
        <v>5.2</v>
      </c>
      <c r="K96" s="435">
        <v>4500</v>
      </c>
      <c r="L96" s="436"/>
      <c r="M96" s="437"/>
      <c r="N96" s="438"/>
      <c r="O96" s="439"/>
      <c r="P96" s="401">
        <v>6000</v>
      </c>
      <c r="Q96" s="402">
        <v>6.22</v>
      </c>
      <c r="R96" s="403">
        <v>0.48</v>
      </c>
      <c r="S96" s="404">
        <v>2.5</v>
      </c>
      <c r="T96" s="405">
        <v>42.4</v>
      </c>
      <c r="U96" s="406">
        <v>10</v>
      </c>
      <c r="V96" s="373"/>
      <c r="W96" s="391" t="s">
        <v>537</v>
      </c>
    </row>
    <row r="97" spans="1:23">
      <c r="A97" s="392" t="s">
        <v>568</v>
      </c>
      <c r="B97" s="425">
        <v>29.7</v>
      </c>
      <c r="C97" s="425">
        <v>14.3</v>
      </c>
      <c r="D97" s="391">
        <v>11.4</v>
      </c>
      <c r="E97" s="394">
        <v>4.7699999999999996</v>
      </c>
      <c r="F97" s="434"/>
      <c r="G97" s="435"/>
      <c r="H97" s="436"/>
      <c r="I97" s="437"/>
      <c r="J97" s="438">
        <v>10.7</v>
      </c>
      <c r="K97" s="435">
        <v>1000</v>
      </c>
      <c r="L97" s="436">
        <v>9.85</v>
      </c>
      <c r="M97" s="437">
        <v>2000</v>
      </c>
      <c r="N97" s="438">
        <v>9.5</v>
      </c>
      <c r="O97" s="439">
        <v>2400</v>
      </c>
      <c r="P97" s="401">
        <v>6000</v>
      </c>
      <c r="Q97" s="402">
        <v>9.1199999999999992</v>
      </c>
      <c r="R97" s="403">
        <v>3.75</v>
      </c>
      <c r="S97" s="404">
        <v>21.3</v>
      </c>
      <c r="T97" s="405">
        <v>154</v>
      </c>
      <c r="U97" s="406">
        <v>10</v>
      </c>
      <c r="V97" s="373"/>
      <c r="W97" s="391" t="s">
        <v>537</v>
      </c>
    </row>
    <row r="98" spans="1:23" s="460" customFormat="1">
      <c r="A98" s="450" t="s">
        <v>569</v>
      </c>
      <c r="B98" s="451">
        <v>30</v>
      </c>
      <c r="C98" s="451">
        <v>19.8</v>
      </c>
      <c r="D98" s="451">
        <v>11.51</v>
      </c>
      <c r="E98" s="451">
        <v>6.6</v>
      </c>
      <c r="F98" s="453"/>
      <c r="G98" s="435"/>
      <c r="H98" s="436"/>
      <c r="I98" s="437"/>
      <c r="J98" s="438"/>
      <c r="K98" s="435"/>
      <c r="L98" s="436">
        <v>8.83</v>
      </c>
      <c r="M98" s="454">
        <v>3000</v>
      </c>
      <c r="N98" s="453">
        <v>8.23</v>
      </c>
      <c r="O98" s="455">
        <v>3500</v>
      </c>
      <c r="P98" s="451">
        <v>6000</v>
      </c>
      <c r="Q98" s="451">
        <v>9.1</v>
      </c>
      <c r="R98" s="457">
        <v>2.1</v>
      </c>
      <c r="S98" s="457">
        <v>11.4</v>
      </c>
      <c r="T98" s="458">
        <v>112.4</v>
      </c>
      <c r="U98" s="457">
        <v>10</v>
      </c>
      <c r="V98" s="459"/>
      <c r="W98" s="459"/>
    </row>
    <row r="99" spans="1:23" s="460" customFormat="1">
      <c r="A99" s="450" t="s">
        <v>570</v>
      </c>
      <c r="B99" s="451">
        <v>30</v>
      </c>
      <c r="C99" s="452">
        <v>22.2</v>
      </c>
      <c r="D99" s="451">
        <v>11.58</v>
      </c>
      <c r="E99" s="451">
        <v>7.4</v>
      </c>
      <c r="F99" s="453"/>
      <c r="G99" s="435"/>
      <c r="H99" s="436"/>
      <c r="I99" s="437"/>
      <c r="J99" s="438">
        <v>10.28</v>
      </c>
      <c r="K99" s="455">
        <v>1750</v>
      </c>
      <c r="L99" s="456">
        <v>8.58</v>
      </c>
      <c r="M99" s="454">
        <v>3250</v>
      </c>
      <c r="N99" s="453">
        <v>7.63</v>
      </c>
      <c r="O99" s="455">
        <v>4000</v>
      </c>
      <c r="P99" s="451">
        <v>6000</v>
      </c>
      <c r="Q99" s="451">
        <v>9.1</v>
      </c>
      <c r="R99" s="457">
        <v>1.66</v>
      </c>
      <c r="S99" s="457">
        <v>9.11</v>
      </c>
      <c r="T99" s="458">
        <v>100.6</v>
      </c>
      <c r="U99" s="457">
        <v>10</v>
      </c>
      <c r="V99" s="459"/>
      <c r="W99" s="459"/>
    </row>
    <row r="100" spans="1:23">
      <c r="A100" s="392" t="s">
        <v>571</v>
      </c>
      <c r="B100" s="425">
        <v>30.3</v>
      </c>
      <c r="C100" s="425">
        <v>28.2</v>
      </c>
      <c r="D100" s="391">
        <v>11.6</v>
      </c>
      <c r="E100" s="394">
        <v>9.4</v>
      </c>
      <c r="F100" s="434"/>
      <c r="G100" s="435"/>
      <c r="H100" s="436"/>
      <c r="I100" s="437"/>
      <c r="J100" s="438">
        <v>10.1</v>
      </c>
      <c r="K100" s="435">
        <v>2000</v>
      </c>
      <c r="L100" s="436">
        <v>7.65</v>
      </c>
      <c r="M100" s="437">
        <v>4000</v>
      </c>
      <c r="N100" s="438">
        <v>6.85</v>
      </c>
      <c r="O100" s="439">
        <v>4500</v>
      </c>
      <c r="P100" s="401">
        <v>6000</v>
      </c>
      <c r="Q100" s="402">
        <v>9.1199999999999992</v>
      </c>
      <c r="R100" s="403">
        <v>1</v>
      </c>
      <c r="S100" s="404">
        <v>5.7</v>
      </c>
      <c r="T100" s="405">
        <v>79.8</v>
      </c>
      <c r="U100" s="406">
        <v>10</v>
      </c>
      <c r="V100" s="373"/>
      <c r="W100" s="391" t="s">
        <v>537</v>
      </c>
    </row>
    <row r="101" spans="1:23" s="460" customFormat="1">
      <c r="A101" s="450" t="s">
        <v>572</v>
      </c>
      <c r="B101" s="451">
        <v>30.3</v>
      </c>
      <c r="C101" s="461">
        <v>37.6</v>
      </c>
      <c r="D101" s="451">
        <v>11.6</v>
      </c>
      <c r="E101" s="451">
        <v>11.8</v>
      </c>
      <c r="F101" s="453"/>
      <c r="G101" s="435"/>
      <c r="H101" s="436"/>
      <c r="I101" s="437"/>
      <c r="J101" s="438">
        <v>8.9</v>
      </c>
      <c r="K101" s="455">
        <v>3000</v>
      </c>
      <c r="L101" s="456">
        <v>5.0599999999999996</v>
      </c>
      <c r="M101" s="454">
        <v>5500</v>
      </c>
      <c r="N101" s="453">
        <v>4.05</v>
      </c>
      <c r="O101" s="455">
        <v>6000</v>
      </c>
      <c r="P101" s="451">
        <v>6000</v>
      </c>
      <c r="Q101" s="451">
        <v>9.1</v>
      </c>
      <c r="R101" s="457">
        <v>0.69</v>
      </c>
      <c r="S101" s="457">
        <v>3.64</v>
      </c>
      <c r="T101" s="458">
        <v>63.6</v>
      </c>
      <c r="U101" s="457">
        <v>10</v>
      </c>
      <c r="V101" s="459"/>
      <c r="W101" s="459"/>
    </row>
    <row r="102" spans="1:23">
      <c r="A102" s="392" t="s">
        <v>573</v>
      </c>
      <c r="B102" s="425">
        <v>29.7</v>
      </c>
      <c r="C102" s="425">
        <v>40.200000000000003</v>
      </c>
      <c r="D102" s="391">
        <v>11.4</v>
      </c>
      <c r="E102" s="394">
        <v>13.4</v>
      </c>
      <c r="F102" s="434"/>
      <c r="G102" s="435"/>
      <c r="H102" s="436"/>
      <c r="I102" s="437"/>
      <c r="J102" s="438">
        <v>8.7200000000000006</v>
      </c>
      <c r="K102" s="435">
        <v>3000</v>
      </c>
      <c r="L102" s="436"/>
      <c r="M102" s="437"/>
      <c r="N102" s="438"/>
      <c r="O102" s="439"/>
      <c r="P102" s="401">
        <v>6000</v>
      </c>
      <c r="Q102" s="402">
        <v>9.1199999999999992</v>
      </c>
      <c r="R102" s="403">
        <v>0.51</v>
      </c>
      <c r="S102" s="404">
        <v>2.7</v>
      </c>
      <c r="T102" s="405">
        <v>54.7</v>
      </c>
      <c r="U102" s="406">
        <v>10</v>
      </c>
      <c r="V102" s="373"/>
      <c r="W102" s="391" t="s">
        <v>537</v>
      </c>
    </row>
    <row r="103" spans="1:23">
      <c r="A103" s="392" t="s">
        <v>574</v>
      </c>
      <c r="B103" s="425">
        <v>29.8</v>
      </c>
      <c r="C103" s="425">
        <v>57.4</v>
      </c>
      <c r="D103" s="391">
        <v>11.4</v>
      </c>
      <c r="E103" s="394">
        <v>19.100000000000001</v>
      </c>
      <c r="F103" s="434"/>
      <c r="G103" s="435"/>
      <c r="H103" s="436"/>
      <c r="I103" s="437"/>
      <c r="J103" s="438">
        <v>5.88</v>
      </c>
      <c r="K103" s="435">
        <v>5000</v>
      </c>
      <c r="L103" s="436"/>
      <c r="M103" s="437"/>
      <c r="N103" s="438"/>
      <c r="O103" s="439"/>
      <c r="P103" s="401">
        <v>6000</v>
      </c>
      <c r="Q103" s="402">
        <v>9.1199999999999992</v>
      </c>
      <c r="R103" s="403">
        <v>0.27</v>
      </c>
      <c r="S103" s="404">
        <v>1.3</v>
      </c>
      <c r="T103" s="405">
        <v>38.4</v>
      </c>
      <c r="U103" s="406">
        <v>10</v>
      </c>
      <c r="V103" s="373"/>
      <c r="W103" s="391" t="s">
        <v>537</v>
      </c>
    </row>
    <row r="104" spans="1:23" s="460" customFormat="1">
      <c r="A104" s="450" t="s">
        <v>575</v>
      </c>
      <c r="B104" s="451">
        <v>29.8</v>
      </c>
      <c r="C104" s="452">
        <v>63.3</v>
      </c>
      <c r="D104" s="451">
        <v>11.57</v>
      </c>
      <c r="E104" s="451">
        <v>21.1</v>
      </c>
      <c r="F104" s="453"/>
      <c r="G104" s="435"/>
      <c r="H104" s="436">
        <v>9.58</v>
      </c>
      <c r="I104" s="454">
        <v>2500</v>
      </c>
      <c r="J104" s="453">
        <v>4.99</v>
      </c>
      <c r="K104" s="455">
        <v>5500</v>
      </c>
      <c r="L104" s="456"/>
      <c r="M104" s="437"/>
      <c r="N104" s="438"/>
      <c r="O104" s="435"/>
      <c r="P104" s="445">
        <v>6000</v>
      </c>
      <c r="Q104" s="451">
        <v>9.1</v>
      </c>
      <c r="R104" s="457">
        <v>0.25</v>
      </c>
      <c r="S104" s="457">
        <v>1.1299999999999999</v>
      </c>
      <c r="T104" s="458">
        <v>35.5</v>
      </c>
      <c r="U104" s="457">
        <v>10</v>
      </c>
      <c r="V104" s="459"/>
      <c r="W104" s="459"/>
    </row>
    <row r="105" spans="1:23">
      <c r="A105" s="392" t="s">
        <v>576</v>
      </c>
      <c r="B105" s="425">
        <v>38</v>
      </c>
      <c r="C105" s="425">
        <v>15</v>
      </c>
      <c r="D105" s="391">
        <v>14.3</v>
      </c>
      <c r="E105" s="394">
        <v>4.9800000000000004</v>
      </c>
      <c r="F105" s="434"/>
      <c r="G105" s="435"/>
      <c r="H105" s="436"/>
      <c r="I105" s="437"/>
      <c r="J105" s="438"/>
      <c r="K105" s="435"/>
      <c r="L105" s="436">
        <v>12.9</v>
      </c>
      <c r="M105" s="437">
        <v>1500</v>
      </c>
      <c r="N105" s="438">
        <v>12.3</v>
      </c>
      <c r="O105" s="439">
        <v>2000</v>
      </c>
      <c r="P105" s="401">
        <v>6000</v>
      </c>
      <c r="Q105" s="402">
        <v>11.9</v>
      </c>
      <c r="R105" s="403">
        <v>3.8</v>
      </c>
      <c r="S105" s="404">
        <v>22.9</v>
      </c>
      <c r="T105" s="405">
        <v>185</v>
      </c>
      <c r="U105" s="406">
        <v>10</v>
      </c>
      <c r="V105" s="373"/>
      <c r="W105" s="391" t="s">
        <v>537</v>
      </c>
    </row>
    <row r="106" spans="1:23" s="460" customFormat="1">
      <c r="A106" s="450" t="s">
        <v>577</v>
      </c>
      <c r="B106" s="451">
        <v>37.5</v>
      </c>
      <c r="C106" s="451">
        <v>16.5</v>
      </c>
      <c r="D106" s="451">
        <v>14.19</v>
      </c>
      <c r="E106" s="451">
        <v>5.5</v>
      </c>
      <c r="F106" s="453"/>
      <c r="G106" s="435"/>
      <c r="H106" s="436"/>
      <c r="I106" s="437"/>
      <c r="J106" s="438">
        <v>13.35</v>
      </c>
      <c r="K106" s="455">
        <v>1000</v>
      </c>
      <c r="L106" s="456">
        <v>12.6</v>
      </c>
      <c r="M106" s="454">
        <v>1800</v>
      </c>
      <c r="N106" s="453">
        <v>12.22</v>
      </c>
      <c r="O106" s="455">
        <v>2000</v>
      </c>
      <c r="P106" s="451">
        <v>6000</v>
      </c>
      <c r="Q106" s="451">
        <v>12</v>
      </c>
      <c r="R106" s="457">
        <v>3.2</v>
      </c>
      <c r="S106" s="457">
        <v>18.3</v>
      </c>
      <c r="T106" s="458">
        <v>165.6</v>
      </c>
      <c r="U106" s="457">
        <v>10</v>
      </c>
      <c r="V106" s="459"/>
      <c r="W106" s="459"/>
    </row>
    <row r="107" spans="1:23" s="460" customFormat="1">
      <c r="A107" s="450" t="s">
        <v>578</v>
      </c>
      <c r="B107" s="451">
        <v>38</v>
      </c>
      <c r="C107" s="452">
        <v>23.1</v>
      </c>
      <c r="D107" s="451">
        <v>14.42</v>
      </c>
      <c r="E107" s="451">
        <v>7.7</v>
      </c>
      <c r="F107" s="453"/>
      <c r="G107" s="435"/>
      <c r="H107" s="436"/>
      <c r="I107" s="437"/>
      <c r="J107" s="438">
        <v>13.07</v>
      </c>
      <c r="K107" s="455">
        <v>1500</v>
      </c>
      <c r="L107" s="456">
        <v>11.71</v>
      </c>
      <c r="M107" s="454">
        <v>2500</v>
      </c>
      <c r="N107" s="453">
        <v>10.81</v>
      </c>
      <c r="O107" s="455">
        <v>3000</v>
      </c>
      <c r="P107" s="451">
        <v>6000</v>
      </c>
      <c r="Q107" s="451">
        <v>12</v>
      </c>
      <c r="R107" s="457">
        <v>1.66</v>
      </c>
      <c r="S107" s="457">
        <v>9.84</v>
      </c>
      <c r="T107" s="458">
        <v>120.3</v>
      </c>
      <c r="U107" s="457">
        <v>10</v>
      </c>
      <c r="V107" s="459"/>
      <c r="W107" s="459"/>
    </row>
    <row r="108" spans="1:23">
      <c r="A108" s="392" t="s">
        <v>579</v>
      </c>
      <c r="B108" s="425">
        <v>38.4</v>
      </c>
      <c r="C108" s="425">
        <v>29.2</v>
      </c>
      <c r="D108" s="391">
        <v>14.4</v>
      </c>
      <c r="E108" s="394">
        <v>9.6999999999999993</v>
      </c>
      <c r="F108" s="434"/>
      <c r="G108" s="435"/>
      <c r="H108" s="436"/>
      <c r="I108" s="437"/>
      <c r="J108" s="438">
        <v>12.7</v>
      </c>
      <c r="K108" s="435">
        <v>1800</v>
      </c>
      <c r="L108" s="436">
        <v>10.1</v>
      </c>
      <c r="M108" s="437">
        <v>3500</v>
      </c>
      <c r="N108" s="438">
        <v>9.25</v>
      </c>
      <c r="O108" s="439">
        <v>4000</v>
      </c>
      <c r="P108" s="401">
        <v>8000</v>
      </c>
      <c r="Q108" s="402">
        <v>11.9</v>
      </c>
      <c r="R108" s="403">
        <v>1.02</v>
      </c>
      <c r="S108" s="404">
        <v>6.2</v>
      </c>
      <c r="T108" s="405">
        <v>96.6</v>
      </c>
      <c r="U108" s="406">
        <v>10</v>
      </c>
      <c r="V108" s="373"/>
      <c r="W108" s="391" t="s">
        <v>537</v>
      </c>
    </row>
    <row r="109" spans="1:23">
      <c r="A109" s="392" t="s">
        <v>580</v>
      </c>
      <c r="B109" s="425">
        <v>37.5</v>
      </c>
      <c r="C109" s="425">
        <v>37.5</v>
      </c>
      <c r="D109" s="391">
        <v>14.1</v>
      </c>
      <c r="E109" s="394">
        <v>12.5</v>
      </c>
      <c r="F109" s="434"/>
      <c r="G109" s="435"/>
      <c r="H109" s="436"/>
      <c r="I109" s="437"/>
      <c r="J109" s="438">
        <v>11.5</v>
      </c>
      <c r="K109" s="435">
        <v>2500</v>
      </c>
      <c r="L109" s="436">
        <v>8.1300000000000008</v>
      </c>
      <c r="M109" s="437">
        <v>4500</v>
      </c>
      <c r="N109" s="438"/>
      <c r="O109" s="439"/>
      <c r="P109" s="401">
        <v>6000</v>
      </c>
      <c r="Q109" s="402">
        <v>11.9</v>
      </c>
      <c r="R109" s="403">
        <v>0.63</v>
      </c>
      <c r="S109" s="404">
        <v>3.5</v>
      </c>
      <c r="T109" s="405">
        <v>72.900000000000006</v>
      </c>
      <c r="U109" s="406">
        <v>10</v>
      </c>
      <c r="V109" s="373"/>
      <c r="W109" s="391" t="s">
        <v>537</v>
      </c>
    </row>
    <row r="110" spans="1:23">
      <c r="A110" s="392" t="s">
        <v>581</v>
      </c>
      <c r="B110" s="425">
        <v>37.6</v>
      </c>
      <c r="C110" s="425">
        <v>53.4</v>
      </c>
      <c r="D110" s="391">
        <v>14.1</v>
      </c>
      <c r="E110" s="394">
        <v>17.8</v>
      </c>
      <c r="F110" s="434"/>
      <c r="G110" s="435"/>
      <c r="H110" s="436"/>
      <c r="I110" s="437"/>
      <c r="J110" s="438">
        <v>9.85</v>
      </c>
      <c r="K110" s="435">
        <v>3500</v>
      </c>
      <c r="L110" s="436"/>
      <c r="M110" s="437"/>
      <c r="N110" s="438"/>
      <c r="O110" s="439"/>
      <c r="P110" s="401">
        <v>8000</v>
      </c>
      <c r="Q110" s="402">
        <v>11.9</v>
      </c>
      <c r="R110" s="403">
        <v>0.33</v>
      </c>
      <c r="S110" s="404">
        <v>1.8</v>
      </c>
      <c r="T110" s="405">
        <v>51.3</v>
      </c>
      <c r="U110" s="406">
        <v>10</v>
      </c>
      <c r="V110" s="373"/>
      <c r="W110" s="391" t="s">
        <v>537</v>
      </c>
    </row>
    <row r="111" spans="1:23" s="460" customFormat="1">
      <c r="A111" s="450" t="s">
        <v>582</v>
      </c>
      <c r="B111" s="451">
        <v>38</v>
      </c>
      <c r="C111" s="452">
        <v>58.8</v>
      </c>
      <c r="D111" s="451">
        <v>14.36</v>
      </c>
      <c r="E111" s="451">
        <v>19.600000000000001</v>
      </c>
      <c r="F111" s="453"/>
      <c r="G111" s="435"/>
      <c r="H111" s="436"/>
      <c r="I111" s="437"/>
      <c r="J111" s="438">
        <v>9.23</v>
      </c>
      <c r="K111" s="455">
        <v>4000</v>
      </c>
      <c r="L111" s="456"/>
      <c r="M111" s="437"/>
      <c r="N111" s="438"/>
      <c r="O111" s="435"/>
      <c r="P111" s="445">
        <v>6000</v>
      </c>
      <c r="Q111" s="451">
        <v>12</v>
      </c>
      <c r="R111" s="457">
        <v>0.3</v>
      </c>
      <c r="S111" s="457">
        <v>1.5</v>
      </c>
      <c r="T111" s="458">
        <v>47.3</v>
      </c>
      <c r="U111" s="457">
        <v>10</v>
      </c>
      <c r="V111" s="459"/>
      <c r="W111" s="459"/>
    </row>
    <row r="112" spans="1:23">
      <c r="A112" s="392" t="s">
        <v>583</v>
      </c>
      <c r="B112" s="425">
        <v>29.7</v>
      </c>
      <c r="C112" s="425">
        <v>14.7</v>
      </c>
      <c r="D112" s="391">
        <v>11.9</v>
      </c>
      <c r="E112" s="394">
        <v>4.8499999999999996</v>
      </c>
      <c r="F112" s="434"/>
      <c r="G112" s="435"/>
      <c r="H112" s="436"/>
      <c r="I112" s="437"/>
      <c r="J112" s="438"/>
      <c r="K112" s="435"/>
      <c r="L112" s="436">
        <v>10.7</v>
      </c>
      <c r="M112" s="437">
        <v>1800</v>
      </c>
      <c r="N112" s="438">
        <v>10.199999999999999</v>
      </c>
      <c r="O112" s="439">
        <v>2000</v>
      </c>
      <c r="P112" s="401">
        <v>6000</v>
      </c>
      <c r="Q112" s="402">
        <v>16.899999999999999</v>
      </c>
      <c r="R112" s="403">
        <v>3.94</v>
      </c>
      <c r="S112" s="404">
        <v>31.7</v>
      </c>
      <c r="T112" s="405">
        <v>159</v>
      </c>
      <c r="U112" s="406">
        <v>10</v>
      </c>
      <c r="V112" s="373"/>
      <c r="W112" s="391" t="s">
        <v>537</v>
      </c>
    </row>
    <row r="113" spans="1:23" s="460" customFormat="1">
      <c r="A113" s="470" t="s">
        <v>584</v>
      </c>
      <c r="B113" s="451">
        <v>29.7</v>
      </c>
      <c r="C113" s="461">
        <v>16.399999999999999</v>
      </c>
      <c r="D113" s="451">
        <v>11.9</v>
      </c>
      <c r="E113" s="451">
        <v>5.4</v>
      </c>
      <c r="F113" s="453"/>
      <c r="G113" s="435"/>
      <c r="H113" s="436"/>
      <c r="I113" s="437"/>
      <c r="J113" s="438">
        <v>11.2</v>
      </c>
      <c r="K113" s="455">
        <v>1000</v>
      </c>
      <c r="L113" s="456">
        <v>10.199999999999999</v>
      </c>
      <c r="M113" s="454">
        <v>2000</v>
      </c>
      <c r="N113" s="453">
        <v>9.9</v>
      </c>
      <c r="O113" s="455">
        <v>2400</v>
      </c>
      <c r="P113" s="451">
        <v>6000</v>
      </c>
      <c r="Q113" s="451">
        <v>17</v>
      </c>
      <c r="R113" s="457">
        <v>3.3</v>
      </c>
      <c r="S113" s="457">
        <v>25.4</v>
      </c>
      <c r="T113" s="458">
        <v>142.1</v>
      </c>
      <c r="U113" s="457">
        <v>10</v>
      </c>
      <c r="V113" s="459"/>
      <c r="W113" s="459"/>
    </row>
    <row r="114" spans="1:23">
      <c r="A114" s="444" t="s">
        <v>585</v>
      </c>
      <c r="B114" s="445">
        <v>29.9</v>
      </c>
      <c r="C114" s="449">
        <v>22.8</v>
      </c>
      <c r="D114" s="445">
        <v>12.1</v>
      </c>
      <c r="E114" s="445">
        <v>7.6</v>
      </c>
      <c r="F114" s="438"/>
      <c r="G114" s="435"/>
      <c r="H114" s="436"/>
      <c r="I114" s="437"/>
      <c r="J114" s="438">
        <v>10.8</v>
      </c>
      <c r="K114" s="435">
        <v>1500</v>
      </c>
      <c r="L114" s="436">
        <v>9.4</v>
      </c>
      <c r="M114" s="437">
        <v>3000</v>
      </c>
      <c r="N114" s="438">
        <v>8.9</v>
      </c>
      <c r="O114" s="435">
        <v>3500</v>
      </c>
      <c r="P114" s="445">
        <v>6000</v>
      </c>
      <c r="Q114" s="445">
        <v>17</v>
      </c>
      <c r="R114" s="391">
        <v>1.75</v>
      </c>
      <c r="S114" s="391">
        <v>13.4</v>
      </c>
      <c r="T114" s="447">
        <v>103.2</v>
      </c>
      <c r="U114" s="391">
        <v>10</v>
      </c>
      <c r="V114" s="373"/>
      <c r="W114" s="373"/>
    </row>
    <row r="115" spans="1:23">
      <c r="A115" s="392" t="s">
        <v>586</v>
      </c>
      <c r="B115" s="425">
        <v>30.2</v>
      </c>
      <c r="C115" s="425">
        <v>28.8</v>
      </c>
      <c r="D115" s="391">
        <v>12.2</v>
      </c>
      <c r="E115" s="394">
        <v>9.6</v>
      </c>
      <c r="F115" s="434"/>
      <c r="G115" s="435"/>
      <c r="H115" s="436"/>
      <c r="I115" s="437"/>
      <c r="J115" s="438">
        <v>10.4</v>
      </c>
      <c r="K115" s="435">
        <v>2000</v>
      </c>
      <c r="L115" s="436">
        <v>9.01</v>
      </c>
      <c r="M115" s="437">
        <v>3500</v>
      </c>
      <c r="N115" s="438">
        <v>8.02</v>
      </c>
      <c r="O115" s="439">
        <v>4500</v>
      </c>
      <c r="P115" s="401">
        <v>6000</v>
      </c>
      <c r="Q115" s="402">
        <v>16.899999999999999</v>
      </c>
      <c r="R115" s="403">
        <v>1.05</v>
      </c>
      <c r="S115" s="404">
        <v>8.5</v>
      </c>
      <c r="T115" s="405">
        <v>82.1</v>
      </c>
      <c r="U115" s="406">
        <v>10</v>
      </c>
      <c r="V115" s="373"/>
      <c r="W115" s="391" t="s">
        <v>537</v>
      </c>
    </row>
    <row r="116" spans="1:23">
      <c r="A116" s="444" t="s">
        <v>587</v>
      </c>
      <c r="B116" s="445">
        <v>30.2</v>
      </c>
      <c r="C116" s="446">
        <v>36</v>
      </c>
      <c r="D116" s="445">
        <v>12.2</v>
      </c>
      <c r="E116" s="445">
        <v>12</v>
      </c>
      <c r="F116" s="438"/>
      <c r="G116" s="435"/>
      <c r="H116" s="436"/>
      <c r="I116" s="437"/>
      <c r="J116" s="438">
        <v>10</v>
      </c>
      <c r="K116" s="435">
        <v>2500</v>
      </c>
      <c r="L116" s="436">
        <v>7.42</v>
      </c>
      <c r="M116" s="437">
        <v>5000</v>
      </c>
      <c r="N116" s="438">
        <v>5.74</v>
      </c>
      <c r="O116" s="435">
        <v>6000</v>
      </c>
      <c r="P116" s="445">
        <v>6000</v>
      </c>
      <c r="Q116" s="445">
        <v>17</v>
      </c>
      <c r="R116" s="391">
        <v>0.74</v>
      </c>
      <c r="S116" s="391">
        <v>5.4</v>
      </c>
      <c r="T116" s="447">
        <v>65.5</v>
      </c>
      <c r="U116" s="391">
        <v>10</v>
      </c>
      <c r="V116" s="373"/>
      <c r="W116" s="373"/>
    </row>
    <row r="117" spans="1:23">
      <c r="A117" s="392" t="s">
        <v>588</v>
      </c>
      <c r="B117" s="425">
        <v>30.2</v>
      </c>
      <c r="C117" s="425">
        <v>40.299999999999997</v>
      </c>
      <c r="D117" s="391">
        <v>12.2</v>
      </c>
      <c r="E117" s="394">
        <v>13.4</v>
      </c>
      <c r="F117" s="434"/>
      <c r="G117" s="435"/>
      <c r="H117" s="436"/>
      <c r="I117" s="437"/>
      <c r="J117" s="438">
        <v>9.5</v>
      </c>
      <c r="K117" s="435">
        <v>3000</v>
      </c>
      <c r="L117" s="436">
        <v>5.74</v>
      </c>
      <c r="M117" s="437">
        <v>6000</v>
      </c>
      <c r="N117" s="438">
        <v>5.74</v>
      </c>
      <c r="O117" s="439">
        <v>6000</v>
      </c>
      <c r="P117" s="401">
        <v>6000</v>
      </c>
      <c r="Q117" s="402">
        <v>16.899999999999999</v>
      </c>
      <c r="R117" s="403">
        <v>0.55000000000000004</v>
      </c>
      <c r="S117" s="404">
        <v>4.4000000000000004</v>
      </c>
      <c r="T117" s="405">
        <v>58.8</v>
      </c>
      <c r="U117" s="406">
        <v>10</v>
      </c>
      <c r="V117" s="373"/>
      <c r="W117" s="391" t="s">
        <v>537</v>
      </c>
    </row>
    <row r="118" spans="1:23">
      <c r="A118" s="392" t="s">
        <v>589</v>
      </c>
      <c r="B118" s="425">
        <v>30.3</v>
      </c>
      <c r="C118" s="425">
        <v>56.4</v>
      </c>
      <c r="D118" s="391">
        <v>12.3</v>
      </c>
      <c r="E118" s="394">
        <v>18.8</v>
      </c>
      <c r="F118" s="434"/>
      <c r="G118" s="435"/>
      <c r="H118" s="436"/>
      <c r="I118" s="437"/>
      <c r="J118" s="438">
        <v>8.1</v>
      </c>
      <c r="K118" s="435">
        <v>4500</v>
      </c>
      <c r="L118" s="436"/>
      <c r="M118" s="437"/>
      <c r="N118" s="438"/>
      <c r="O118" s="439"/>
      <c r="P118" s="401">
        <v>6000</v>
      </c>
      <c r="Q118" s="402">
        <v>16.899999999999999</v>
      </c>
      <c r="R118" s="403">
        <v>0.3</v>
      </c>
      <c r="S118" s="404">
        <v>2.2000000000000002</v>
      </c>
      <c r="T118" s="405">
        <v>42.2</v>
      </c>
      <c r="U118" s="406">
        <v>10</v>
      </c>
      <c r="V118" s="373"/>
      <c r="W118" s="391" t="s">
        <v>537</v>
      </c>
    </row>
    <row r="119" spans="1:23">
      <c r="A119" s="444" t="s">
        <v>590</v>
      </c>
      <c r="B119" s="445">
        <v>30.3</v>
      </c>
      <c r="C119" s="446">
        <v>67</v>
      </c>
      <c r="D119" s="445">
        <v>12</v>
      </c>
      <c r="E119" s="445">
        <v>21.8</v>
      </c>
      <c r="F119" s="438"/>
      <c r="G119" s="435"/>
      <c r="H119" s="436"/>
      <c r="I119" s="437"/>
      <c r="J119" s="438">
        <v>6.5</v>
      </c>
      <c r="K119" s="435">
        <v>5500</v>
      </c>
      <c r="L119" s="436"/>
      <c r="M119" s="437"/>
      <c r="N119" s="438"/>
      <c r="O119" s="435"/>
      <c r="P119" s="445">
        <v>6000</v>
      </c>
      <c r="Q119" s="445">
        <v>17</v>
      </c>
      <c r="R119" s="391">
        <v>0.27</v>
      </c>
      <c r="S119" s="391">
        <v>1.6</v>
      </c>
      <c r="T119" s="447">
        <v>35.5</v>
      </c>
      <c r="U119" s="391">
        <v>10</v>
      </c>
      <c r="V119" s="373"/>
      <c r="W119" s="373"/>
    </row>
    <row r="120" spans="1:23">
      <c r="A120" s="392" t="s">
        <v>591</v>
      </c>
      <c r="B120" s="425">
        <v>42.1</v>
      </c>
      <c r="C120" s="425">
        <v>13.5</v>
      </c>
      <c r="D120" s="391">
        <v>16.5</v>
      </c>
      <c r="E120" s="394">
        <v>4.4800000000000004</v>
      </c>
      <c r="F120" s="434"/>
      <c r="G120" s="435"/>
      <c r="H120" s="436"/>
      <c r="I120" s="437"/>
      <c r="J120" s="438"/>
      <c r="K120" s="435"/>
      <c r="L120" s="436">
        <v>15.3</v>
      </c>
      <c r="M120" s="437">
        <v>1200</v>
      </c>
      <c r="N120" s="438">
        <v>14.6</v>
      </c>
      <c r="O120" s="439">
        <v>1500</v>
      </c>
      <c r="P120" s="401">
        <v>6000</v>
      </c>
      <c r="Q120" s="402">
        <v>24.2</v>
      </c>
      <c r="R120" s="403">
        <v>5.16</v>
      </c>
      <c r="S120" s="404">
        <v>43.5</v>
      </c>
      <c r="T120" s="405">
        <v>238</v>
      </c>
      <c r="U120" s="406">
        <v>10</v>
      </c>
      <c r="V120" s="373"/>
      <c r="W120" s="391" t="s">
        <v>537</v>
      </c>
    </row>
    <row r="121" spans="1:23">
      <c r="A121" s="444" t="s">
        <v>592</v>
      </c>
      <c r="B121" s="445">
        <v>42.2</v>
      </c>
      <c r="C121" s="446">
        <v>17.5</v>
      </c>
      <c r="D121" s="445">
        <v>16.600000000000001</v>
      </c>
      <c r="E121" s="445">
        <v>5.6</v>
      </c>
      <c r="F121" s="438"/>
      <c r="G121" s="435"/>
      <c r="H121" s="436"/>
      <c r="I121" s="437"/>
      <c r="J121" s="438"/>
      <c r="K121" s="435"/>
      <c r="L121" s="436">
        <v>14.6</v>
      </c>
      <c r="M121" s="437">
        <v>1500</v>
      </c>
      <c r="N121" s="438">
        <v>14.2</v>
      </c>
      <c r="O121" s="435">
        <v>1800</v>
      </c>
      <c r="P121" s="445">
        <v>6000</v>
      </c>
      <c r="Q121" s="445">
        <v>24</v>
      </c>
      <c r="R121" s="391">
        <v>3.43</v>
      </c>
      <c r="S121" s="391">
        <v>28.1</v>
      </c>
      <c r="T121" s="447">
        <v>191.5</v>
      </c>
      <c r="U121" s="391">
        <v>10</v>
      </c>
      <c r="V121" s="373"/>
      <c r="W121" s="373"/>
    </row>
    <row r="122" spans="1:23">
      <c r="A122" s="444" t="s">
        <v>593</v>
      </c>
      <c r="B122" s="445">
        <v>42.2</v>
      </c>
      <c r="C122" s="446">
        <v>24.2</v>
      </c>
      <c r="D122" s="445">
        <v>16.8</v>
      </c>
      <c r="E122" s="445">
        <v>7.9</v>
      </c>
      <c r="F122" s="438"/>
      <c r="G122" s="435"/>
      <c r="H122" s="436"/>
      <c r="I122" s="437"/>
      <c r="J122" s="438">
        <v>15.3</v>
      </c>
      <c r="K122" s="435">
        <v>1200</v>
      </c>
      <c r="L122" s="436">
        <v>14.1</v>
      </c>
      <c r="M122" s="437">
        <v>2000</v>
      </c>
      <c r="N122" s="438">
        <v>13.5</v>
      </c>
      <c r="O122" s="435">
        <v>2500</v>
      </c>
      <c r="P122" s="445">
        <v>6000</v>
      </c>
      <c r="Q122" s="445">
        <v>24</v>
      </c>
      <c r="R122" s="391">
        <v>1.5</v>
      </c>
      <c r="S122" s="391">
        <v>14.6</v>
      </c>
      <c r="T122" s="447">
        <v>138.19999999999999</v>
      </c>
      <c r="U122" s="391">
        <v>10</v>
      </c>
      <c r="V122" s="373"/>
      <c r="W122" s="373"/>
    </row>
    <row r="123" spans="1:23">
      <c r="A123" s="392" t="s">
        <v>594</v>
      </c>
      <c r="B123" s="425">
        <v>42.6</v>
      </c>
      <c r="C123" s="425">
        <v>29.7</v>
      </c>
      <c r="D123" s="391">
        <v>16.8</v>
      </c>
      <c r="E123" s="394">
        <v>9.9</v>
      </c>
      <c r="F123" s="434"/>
      <c r="G123" s="435"/>
      <c r="H123" s="436"/>
      <c r="I123" s="437"/>
      <c r="J123" s="438">
        <v>14.9</v>
      </c>
      <c r="K123" s="435">
        <v>1500</v>
      </c>
      <c r="L123" s="436">
        <v>12.9</v>
      </c>
      <c r="M123" s="437">
        <v>3000</v>
      </c>
      <c r="N123" s="438">
        <v>12</v>
      </c>
      <c r="O123" s="439">
        <v>3500</v>
      </c>
      <c r="P123" s="401">
        <v>6000</v>
      </c>
      <c r="Q123" s="402">
        <v>24.2</v>
      </c>
      <c r="R123" s="403">
        <v>1.0900000000000001</v>
      </c>
      <c r="S123" s="404">
        <v>9.3000000000000007</v>
      </c>
      <c r="T123" s="405">
        <v>110</v>
      </c>
      <c r="U123" s="406">
        <v>10</v>
      </c>
      <c r="V123" s="373"/>
      <c r="W123" s="391" t="s">
        <v>537</v>
      </c>
    </row>
    <row r="124" spans="1:23">
      <c r="A124" s="444" t="s">
        <v>595</v>
      </c>
      <c r="B124" s="445">
        <v>42.6</v>
      </c>
      <c r="C124" s="446">
        <v>34.299999999999997</v>
      </c>
      <c r="D124" s="445">
        <v>16.8</v>
      </c>
      <c r="E124" s="445">
        <v>11.1</v>
      </c>
      <c r="F124" s="438"/>
      <c r="G124" s="435"/>
      <c r="H124" s="436"/>
      <c r="I124" s="437"/>
      <c r="J124" s="438">
        <v>14.4</v>
      </c>
      <c r="K124" s="435">
        <v>1800</v>
      </c>
      <c r="L124" s="436">
        <v>12.9</v>
      </c>
      <c r="M124" s="437">
        <v>3000</v>
      </c>
      <c r="N124" s="438">
        <v>12</v>
      </c>
      <c r="O124" s="435">
        <v>3500</v>
      </c>
      <c r="P124" s="445">
        <v>6000</v>
      </c>
      <c r="Q124" s="445">
        <v>24</v>
      </c>
      <c r="R124" s="391">
        <v>0.94</v>
      </c>
      <c r="S124" s="391">
        <v>7.4</v>
      </c>
      <c r="T124" s="447">
        <v>98.2</v>
      </c>
      <c r="U124" s="391">
        <v>10</v>
      </c>
      <c r="V124" s="373"/>
      <c r="W124" s="373"/>
    </row>
    <row r="125" spans="1:23">
      <c r="A125" s="392" t="s">
        <v>596</v>
      </c>
      <c r="B125" s="425">
        <v>43</v>
      </c>
      <c r="C125" s="425">
        <v>41.4</v>
      </c>
      <c r="D125" s="391">
        <v>17</v>
      </c>
      <c r="E125" s="394">
        <v>13.8</v>
      </c>
      <c r="F125" s="434"/>
      <c r="G125" s="435"/>
      <c r="H125" s="436"/>
      <c r="I125" s="437"/>
      <c r="J125" s="438">
        <v>14.3</v>
      </c>
      <c r="K125" s="435">
        <v>2000</v>
      </c>
      <c r="L125" s="436">
        <v>11.3</v>
      </c>
      <c r="M125" s="437">
        <v>4000</v>
      </c>
      <c r="N125" s="438">
        <v>10.5</v>
      </c>
      <c r="O125" s="439">
        <v>4500</v>
      </c>
      <c r="P125" s="401">
        <v>6000</v>
      </c>
      <c r="Q125" s="402">
        <v>24.2</v>
      </c>
      <c r="R125" s="403">
        <v>0.57999999999999996</v>
      </c>
      <c r="S125" s="404">
        <v>4.9000000000000004</v>
      </c>
      <c r="T125" s="405">
        <v>79.900000000000006</v>
      </c>
      <c r="U125" s="406">
        <v>10</v>
      </c>
      <c r="V125" s="373"/>
      <c r="W125" s="391" t="s">
        <v>537</v>
      </c>
    </row>
    <row r="126" spans="1:23">
      <c r="A126" s="392" t="s">
        <v>597</v>
      </c>
      <c r="B126" s="425">
        <v>43</v>
      </c>
      <c r="C126" s="425">
        <v>52.2</v>
      </c>
      <c r="D126" s="391">
        <v>17</v>
      </c>
      <c r="E126" s="394">
        <v>17.399999999999999</v>
      </c>
      <c r="F126" s="434"/>
      <c r="G126" s="435"/>
      <c r="H126" s="436"/>
      <c r="I126" s="437"/>
      <c r="J126" s="438">
        <v>13</v>
      </c>
      <c r="K126" s="435">
        <v>3000</v>
      </c>
      <c r="L126" s="436">
        <v>9.6</v>
      </c>
      <c r="M126" s="437">
        <v>5000</v>
      </c>
      <c r="N126" s="438">
        <v>7</v>
      </c>
      <c r="O126" s="439">
        <v>6000</v>
      </c>
      <c r="P126" s="401">
        <v>6000</v>
      </c>
      <c r="Q126" s="402">
        <v>24.2</v>
      </c>
      <c r="R126" s="403">
        <v>0.38</v>
      </c>
      <c r="S126" s="404">
        <v>3.1</v>
      </c>
      <c r="T126" s="405">
        <v>63.3</v>
      </c>
      <c r="U126" s="406">
        <v>10</v>
      </c>
      <c r="V126" s="373"/>
      <c r="W126" s="391" t="s">
        <v>537</v>
      </c>
    </row>
    <row r="127" spans="1:23">
      <c r="A127" s="444" t="s">
        <v>598</v>
      </c>
      <c r="B127" s="445">
        <v>43</v>
      </c>
      <c r="C127" s="446">
        <v>70.3</v>
      </c>
      <c r="D127" s="445">
        <v>16.7</v>
      </c>
      <c r="E127" s="445">
        <v>22.4</v>
      </c>
      <c r="F127" s="438"/>
      <c r="G127" s="435"/>
      <c r="H127" s="436"/>
      <c r="I127" s="437"/>
      <c r="J127" s="438">
        <v>11.9</v>
      </c>
      <c r="K127" s="435">
        <v>3500</v>
      </c>
      <c r="L127" s="436"/>
      <c r="M127" s="437"/>
      <c r="N127" s="438"/>
      <c r="O127" s="435"/>
      <c r="P127" s="445">
        <v>6000</v>
      </c>
      <c r="Q127" s="445">
        <v>24</v>
      </c>
      <c r="R127" s="391">
        <v>0.23</v>
      </c>
      <c r="S127" s="391">
        <v>1.8</v>
      </c>
      <c r="T127" s="447">
        <v>48.3</v>
      </c>
      <c r="U127" s="391">
        <v>10</v>
      </c>
      <c r="V127" s="373"/>
      <c r="W127" s="373"/>
    </row>
    <row r="128" spans="1:23">
      <c r="A128" s="392" t="s">
        <v>599</v>
      </c>
      <c r="B128" s="425">
        <v>53.5</v>
      </c>
      <c r="C128" s="425">
        <v>27.6</v>
      </c>
      <c r="D128" s="391">
        <v>20.8</v>
      </c>
      <c r="E128" s="394">
        <v>9.1999999999999993</v>
      </c>
      <c r="F128" s="434"/>
      <c r="G128" s="435"/>
      <c r="H128" s="436"/>
      <c r="I128" s="437"/>
      <c r="J128" s="438">
        <v>19.2</v>
      </c>
      <c r="K128" s="435">
        <v>1200</v>
      </c>
      <c r="L128" s="436">
        <v>17.2</v>
      </c>
      <c r="M128" s="437">
        <v>2000</v>
      </c>
      <c r="N128" s="438">
        <v>16.3</v>
      </c>
      <c r="O128" s="439">
        <v>2500</v>
      </c>
      <c r="P128" s="401">
        <v>6000</v>
      </c>
      <c r="Q128" s="402">
        <v>31.6</v>
      </c>
      <c r="R128" s="403">
        <v>1.34</v>
      </c>
      <c r="S128" s="404">
        <v>11.8</v>
      </c>
      <c r="T128" s="405">
        <v>147</v>
      </c>
      <c r="U128" s="406">
        <v>10</v>
      </c>
      <c r="V128" s="373"/>
      <c r="W128" s="391" t="s">
        <v>537</v>
      </c>
    </row>
    <row r="129" spans="1:23">
      <c r="A129" s="392" t="s">
        <v>600</v>
      </c>
      <c r="B129" s="425">
        <v>54.1</v>
      </c>
      <c r="C129" s="425">
        <v>38.4</v>
      </c>
      <c r="D129" s="391">
        <v>21</v>
      </c>
      <c r="E129" s="394">
        <v>12.8</v>
      </c>
      <c r="F129" s="434"/>
      <c r="G129" s="435"/>
      <c r="H129" s="436"/>
      <c r="I129" s="437"/>
      <c r="J129" s="438">
        <v>18.399999999999999</v>
      </c>
      <c r="K129" s="435">
        <v>1500</v>
      </c>
      <c r="L129" s="436">
        <v>15.6</v>
      </c>
      <c r="M129" s="437">
        <v>3000</v>
      </c>
      <c r="N129" s="438">
        <v>14.4</v>
      </c>
      <c r="O129" s="439">
        <v>3500</v>
      </c>
      <c r="P129" s="401">
        <v>6000</v>
      </c>
      <c r="Q129" s="402">
        <v>31.6</v>
      </c>
      <c r="R129" s="403">
        <v>0.71</v>
      </c>
      <c r="S129" s="404">
        <v>6.2</v>
      </c>
      <c r="T129" s="405">
        <v>107</v>
      </c>
      <c r="U129" s="406">
        <v>10</v>
      </c>
      <c r="V129" s="373"/>
      <c r="W129" s="391" t="s">
        <v>537</v>
      </c>
    </row>
    <row r="130" spans="1:23">
      <c r="A130" s="392" t="s">
        <v>601</v>
      </c>
      <c r="B130" s="425">
        <v>52.9</v>
      </c>
      <c r="C130" s="425">
        <v>55.9</v>
      </c>
      <c r="D130" s="391">
        <v>20.399999999999999</v>
      </c>
      <c r="E130" s="394">
        <v>18.600000000000001</v>
      </c>
      <c r="F130" s="434"/>
      <c r="G130" s="435"/>
      <c r="H130" s="436"/>
      <c r="I130" s="437"/>
      <c r="J130" s="438">
        <v>16</v>
      </c>
      <c r="K130" s="435">
        <v>2500</v>
      </c>
      <c r="L130" s="436">
        <v>11.9</v>
      </c>
      <c r="M130" s="437">
        <v>4500</v>
      </c>
      <c r="N130" s="438">
        <v>9.02</v>
      </c>
      <c r="O130" s="439">
        <v>5500</v>
      </c>
      <c r="P130" s="401">
        <v>6000</v>
      </c>
      <c r="Q130" s="402">
        <v>31.6</v>
      </c>
      <c r="R130" s="403">
        <v>0.36</v>
      </c>
      <c r="S130" s="404">
        <v>2.8</v>
      </c>
      <c r="T130" s="405">
        <v>71</v>
      </c>
      <c r="U130" s="406">
        <v>10</v>
      </c>
      <c r="V130" s="373"/>
      <c r="W130" s="391" t="s">
        <v>537</v>
      </c>
    </row>
    <row r="131" spans="1:23">
      <c r="A131" s="444" t="s">
        <v>602</v>
      </c>
      <c r="B131" s="445">
        <v>53.2</v>
      </c>
      <c r="C131" s="445">
        <v>62.1</v>
      </c>
      <c r="D131" s="445">
        <v>20</v>
      </c>
      <c r="E131" s="445">
        <v>20.7</v>
      </c>
      <c r="F131" s="438"/>
      <c r="G131" s="435"/>
      <c r="H131" s="436"/>
      <c r="I131" s="437"/>
      <c r="J131" s="438">
        <v>15.3</v>
      </c>
      <c r="K131" s="435">
        <v>3000</v>
      </c>
      <c r="L131" s="436">
        <v>10.7</v>
      </c>
      <c r="M131" s="437">
        <v>5000</v>
      </c>
      <c r="N131" s="438">
        <v>7.4</v>
      </c>
      <c r="O131" s="435">
        <v>6000</v>
      </c>
      <c r="P131" s="445">
        <v>6000</v>
      </c>
      <c r="Q131" s="445">
        <v>32</v>
      </c>
      <c r="R131" s="391">
        <v>0.32</v>
      </c>
      <c r="S131" s="391">
        <v>2.2999999999999998</v>
      </c>
      <c r="T131" s="447">
        <v>64.400000000000006</v>
      </c>
      <c r="U131" s="391">
        <v>10</v>
      </c>
      <c r="V131" s="373"/>
      <c r="W131" s="373"/>
    </row>
    <row r="132" spans="1:23">
      <c r="A132" s="392" t="s">
        <v>603</v>
      </c>
      <c r="B132" s="425">
        <v>64.5</v>
      </c>
      <c r="C132" s="425">
        <v>29.4</v>
      </c>
      <c r="D132" s="391">
        <v>24.8</v>
      </c>
      <c r="E132" s="394">
        <v>9.8000000000000007</v>
      </c>
      <c r="F132" s="434"/>
      <c r="G132" s="435"/>
      <c r="H132" s="436"/>
      <c r="I132" s="437"/>
      <c r="J132" s="438">
        <v>22.8</v>
      </c>
      <c r="K132" s="435">
        <v>1000</v>
      </c>
      <c r="L132" s="436">
        <v>20.2</v>
      </c>
      <c r="M132" s="437">
        <v>2000</v>
      </c>
      <c r="N132" s="438">
        <v>19.7</v>
      </c>
      <c r="O132" s="439">
        <v>2200</v>
      </c>
      <c r="P132" s="401">
        <v>6000</v>
      </c>
      <c r="Q132" s="402">
        <v>40</v>
      </c>
      <c r="R132" s="403">
        <v>1.27</v>
      </c>
      <c r="S132" s="404">
        <v>11.4</v>
      </c>
      <c r="T132" s="405">
        <v>164</v>
      </c>
      <c r="U132" s="406">
        <v>10</v>
      </c>
      <c r="V132" s="373"/>
      <c r="W132" s="391" t="s">
        <v>537</v>
      </c>
    </row>
    <row r="133" spans="1:23">
      <c r="A133" s="392" t="s">
        <v>604</v>
      </c>
      <c r="B133" s="425">
        <v>65.2</v>
      </c>
      <c r="C133" s="425">
        <v>40.799999999999997</v>
      </c>
      <c r="D133" s="391">
        <v>25</v>
      </c>
      <c r="E133" s="394">
        <v>13.6</v>
      </c>
      <c r="F133" s="434"/>
      <c r="G133" s="435"/>
      <c r="H133" s="436"/>
      <c r="I133" s="437"/>
      <c r="J133" s="438">
        <v>21.9</v>
      </c>
      <c r="K133" s="435">
        <v>1500</v>
      </c>
      <c r="L133" s="436">
        <v>19.2</v>
      </c>
      <c r="M133" s="437">
        <v>2500</v>
      </c>
      <c r="N133" s="438">
        <v>18.100000000000001</v>
      </c>
      <c r="O133" s="439">
        <v>3000</v>
      </c>
      <c r="P133" s="401">
        <v>6000</v>
      </c>
      <c r="Q133" s="402">
        <v>40</v>
      </c>
      <c r="R133" s="403">
        <v>0.68</v>
      </c>
      <c r="S133" s="404">
        <v>6.1</v>
      </c>
      <c r="T133" s="405">
        <v>119</v>
      </c>
      <c r="U133" s="406">
        <v>10</v>
      </c>
      <c r="V133" s="373"/>
      <c r="W133" s="391" t="s">
        <v>537</v>
      </c>
    </row>
    <row r="134" spans="1:23">
      <c r="A134" s="392" t="s">
        <v>605</v>
      </c>
      <c r="B134" s="425">
        <v>63.7</v>
      </c>
      <c r="C134" s="425">
        <v>53.4</v>
      </c>
      <c r="D134" s="391">
        <v>24.3</v>
      </c>
      <c r="E134" s="394">
        <v>17.8</v>
      </c>
      <c r="F134" s="434"/>
      <c r="G134" s="435"/>
      <c r="H134" s="436"/>
      <c r="I134" s="437"/>
      <c r="J134" s="438">
        <v>19.8</v>
      </c>
      <c r="K134" s="435">
        <v>2000</v>
      </c>
      <c r="L134" s="436">
        <v>16</v>
      </c>
      <c r="M134" s="437">
        <v>3500</v>
      </c>
      <c r="N134" s="438">
        <v>14.7</v>
      </c>
      <c r="O134" s="439">
        <v>4000</v>
      </c>
      <c r="P134" s="401">
        <v>6000</v>
      </c>
      <c r="Q134" s="402">
        <v>40</v>
      </c>
      <c r="R134" s="403">
        <v>0.42</v>
      </c>
      <c r="S134" s="404">
        <v>3.4</v>
      </c>
      <c r="T134" s="405">
        <v>88.8</v>
      </c>
      <c r="U134" s="406">
        <v>10</v>
      </c>
      <c r="V134" s="373"/>
      <c r="W134" s="391" t="s">
        <v>537</v>
      </c>
    </row>
    <row r="135" spans="1:23">
      <c r="A135" s="444" t="s">
        <v>606</v>
      </c>
      <c r="B135" s="445">
        <v>63.7</v>
      </c>
      <c r="C135" s="446">
        <v>38</v>
      </c>
      <c r="D135" s="445">
        <v>25</v>
      </c>
      <c r="E135" s="445">
        <v>12.2</v>
      </c>
      <c r="F135" s="438"/>
      <c r="G135" s="435"/>
      <c r="H135" s="436"/>
      <c r="I135" s="437"/>
      <c r="J135" s="438">
        <v>22.4</v>
      </c>
      <c r="K135" s="435">
        <v>1300</v>
      </c>
      <c r="L135" s="436">
        <v>19.2</v>
      </c>
      <c r="M135" s="437">
        <v>2500</v>
      </c>
      <c r="N135" s="438">
        <v>18.3</v>
      </c>
      <c r="O135" s="435">
        <v>2800</v>
      </c>
      <c r="P135" s="445">
        <v>6000</v>
      </c>
      <c r="Q135" s="445">
        <v>40</v>
      </c>
      <c r="R135" s="391">
        <v>0.9</v>
      </c>
      <c r="S135" s="391">
        <v>7.6</v>
      </c>
      <c r="T135" s="447">
        <v>133.19999999999999</v>
      </c>
      <c r="U135" s="391">
        <v>10</v>
      </c>
      <c r="V135" s="373"/>
      <c r="W135" s="373"/>
    </row>
    <row r="136" spans="1:23">
      <c r="A136" s="444" t="s">
        <v>607</v>
      </c>
      <c r="B136" s="445">
        <v>64.099999999999994</v>
      </c>
      <c r="C136" s="445">
        <v>59.3</v>
      </c>
      <c r="D136" s="445">
        <v>24.5</v>
      </c>
      <c r="E136" s="445">
        <v>19.8</v>
      </c>
      <c r="F136" s="438"/>
      <c r="G136" s="435"/>
      <c r="H136" s="436"/>
      <c r="I136" s="437"/>
      <c r="J136" s="438">
        <v>19.100000000000001</v>
      </c>
      <c r="K136" s="435">
        <v>2400</v>
      </c>
      <c r="L136" s="436">
        <v>14.9</v>
      </c>
      <c r="M136" s="437">
        <v>4000</v>
      </c>
      <c r="N136" s="438">
        <v>11.6</v>
      </c>
      <c r="O136" s="435">
        <v>5000</v>
      </c>
      <c r="P136" s="445">
        <v>6000</v>
      </c>
      <c r="Q136" s="445">
        <v>40</v>
      </c>
      <c r="R136" s="391">
        <v>0.37</v>
      </c>
      <c r="S136" s="391">
        <v>2.8</v>
      </c>
      <c r="T136" s="447">
        <v>80.5</v>
      </c>
      <c r="U136" s="391">
        <v>10</v>
      </c>
      <c r="V136" s="373"/>
      <c r="W136" s="373"/>
    </row>
    <row r="137" spans="1:23">
      <c r="A137" s="392" t="s">
        <v>608</v>
      </c>
      <c r="B137" s="425">
        <v>79.400000000000006</v>
      </c>
      <c r="C137" s="425">
        <v>27.9</v>
      </c>
      <c r="D137" s="391">
        <v>29.7</v>
      </c>
      <c r="E137" s="394">
        <v>9.3000000000000007</v>
      </c>
      <c r="F137" s="434"/>
      <c r="G137" s="435"/>
      <c r="H137" s="436"/>
      <c r="I137" s="437"/>
      <c r="J137" s="438"/>
      <c r="K137" s="435"/>
      <c r="L137" s="436">
        <v>25.1</v>
      </c>
      <c r="M137" s="437">
        <v>1500</v>
      </c>
      <c r="N137" s="438">
        <v>24</v>
      </c>
      <c r="O137" s="439">
        <v>1800</v>
      </c>
      <c r="P137" s="401">
        <v>6000</v>
      </c>
      <c r="Q137" s="402">
        <v>64.5</v>
      </c>
      <c r="R137" s="403">
        <v>1.22</v>
      </c>
      <c r="S137" s="404">
        <v>20.7</v>
      </c>
      <c r="T137" s="405">
        <v>208</v>
      </c>
      <c r="U137" s="406">
        <v>10</v>
      </c>
      <c r="V137" s="373"/>
      <c r="W137" s="391" t="s">
        <v>537</v>
      </c>
    </row>
    <row r="138" spans="1:23">
      <c r="A138" s="471" t="s">
        <v>609</v>
      </c>
      <c r="B138" s="445">
        <v>79.400000000000006</v>
      </c>
      <c r="C138" s="446">
        <v>37.1</v>
      </c>
      <c r="D138" s="445">
        <v>30</v>
      </c>
      <c r="E138" s="472">
        <v>11.5</v>
      </c>
      <c r="F138" s="434"/>
      <c r="G138" s="435"/>
      <c r="H138" s="436"/>
      <c r="I138" s="437"/>
      <c r="J138" s="438"/>
      <c r="K138" s="435"/>
      <c r="L138" s="436">
        <v>24.3</v>
      </c>
      <c r="M138" s="437">
        <v>1800</v>
      </c>
      <c r="N138" s="438">
        <v>23.6</v>
      </c>
      <c r="O138" s="439">
        <v>2000</v>
      </c>
      <c r="P138" s="473">
        <v>6000</v>
      </c>
      <c r="Q138" s="472">
        <v>65</v>
      </c>
      <c r="R138" s="474">
        <v>0.92</v>
      </c>
      <c r="S138" s="391">
        <v>13.6</v>
      </c>
      <c r="T138" s="447">
        <v>168.5</v>
      </c>
      <c r="U138" s="394">
        <v>10</v>
      </c>
      <c r="V138" s="373"/>
      <c r="W138" s="475"/>
    </row>
    <row r="139" spans="1:23">
      <c r="A139" s="392" t="s">
        <v>610</v>
      </c>
      <c r="B139" s="425">
        <v>79.8</v>
      </c>
      <c r="C139" s="425">
        <v>39</v>
      </c>
      <c r="D139" s="391">
        <v>30</v>
      </c>
      <c r="E139" s="394">
        <v>13</v>
      </c>
      <c r="F139" s="434"/>
      <c r="G139" s="435"/>
      <c r="H139" s="436"/>
      <c r="I139" s="437"/>
      <c r="J139" s="438"/>
      <c r="K139" s="435"/>
      <c r="L139" s="436">
        <v>23.6</v>
      </c>
      <c r="M139" s="437">
        <v>2000</v>
      </c>
      <c r="N139" s="438">
        <v>22.1</v>
      </c>
      <c r="O139" s="439">
        <v>2500</v>
      </c>
      <c r="P139" s="401">
        <v>6000</v>
      </c>
      <c r="Q139" s="402">
        <v>64.5</v>
      </c>
      <c r="R139" s="403">
        <v>0.64</v>
      </c>
      <c r="S139" s="404">
        <v>10.8</v>
      </c>
      <c r="T139" s="405">
        <v>150</v>
      </c>
      <c r="U139" s="406">
        <v>10</v>
      </c>
      <c r="V139" s="373"/>
      <c r="W139" s="391" t="s">
        <v>537</v>
      </c>
    </row>
    <row r="140" spans="1:23">
      <c r="A140" s="392" t="s">
        <v>611</v>
      </c>
      <c r="B140" s="425">
        <v>78.5</v>
      </c>
      <c r="C140" s="425">
        <v>56.1</v>
      </c>
      <c r="D140" s="391">
        <v>29.4</v>
      </c>
      <c r="E140" s="394">
        <v>18.7</v>
      </c>
      <c r="F140" s="434"/>
      <c r="G140" s="435"/>
      <c r="H140" s="436"/>
      <c r="I140" s="437"/>
      <c r="J140" s="438">
        <v>23.8</v>
      </c>
      <c r="K140" s="435">
        <v>1800</v>
      </c>
      <c r="L140" s="436">
        <v>20.100000000000001</v>
      </c>
      <c r="M140" s="437">
        <v>3000</v>
      </c>
      <c r="N140" s="438">
        <v>18.2</v>
      </c>
      <c r="O140" s="439">
        <v>3500</v>
      </c>
      <c r="P140" s="401">
        <v>6000</v>
      </c>
      <c r="Q140" s="402">
        <v>64.5</v>
      </c>
      <c r="R140" s="403">
        <v>0.33</v>
      </c>
      <c r="S140" s="404">
        <v>5</v>
      </c>
      <c r="T140" s="405">
        <v>102</v>
      </c>
      <c r="U140" s="406">
        <v>10</v>
      </c>
      <c r="V140" s="373"/>
      <c r="W140" s="391" t="s">
        <v>537</v>
      </c>
    </row>
    <row r="141" spans="1:23">
      <c r="A141" s="471" t="s">
        <v>612</v>
      </c>
      <c r="B141" s="445">
        <v>78.400000000000006</v>
      </c>
      <c r="C141" s="445">
        <v>70.5</v>
      </c>
      <c r="D141" s="445">
        <v>29.5</v>
      </c>
      <c r="E141" s="472">
        <v>23.5</v>
      </c>
      <c r="F141" s="434"/>
      <c r="G141" s="435"/>
      <c r="H141" s="436"/>
      <c r="I141" s="437"/>
      <c r="J141" s="438">
        <v>23.2</v>
      </c>
      <c r="K141" s="435">
        <v>2000</v>
      </c>
      <c r="L141" s="436">
        <v>16.3</v>
      </c>
      <c r="M141" s="437">
        <v>4000</v>
      </c>
      <c r="N141" s="438">
        <v>14.1</v>
      </c>
      <c r="O141" s="439">
        <v>4500</v>
      </c>
      <c r="P141" s="473">
        <v>6000</v>
      </c>
      <c r="Q141" s="472">
        <v>65</v>
      </c>
      <c r="R141" s="474">
        <v>0.26</v>
      </c>
      <c r="S141" s="391">
        <v>3.2</v>
      </c>
      <c r="T141" s="447">
        <v>81.2</v>
      </c>
      <c r="U141" s="394">
        <v>10</v>
      </c>
      <c r="V141" s="373"/>
      <c r="W141" s="475"/>
    </row>
    <row r="142" spans="1:23">
      <c r="A142" s="471" t="s">
        <v>613</v>
      </c>
      <c r="B142" s="445">
        <v>112</v>
      </c>
      <c r="C142" s="446">
        <v>39.4</v>
      </c>
      <c r="D142" s="445">
        <v>42</v>
      </c>
      <c r="E142" s="472">
        <v>12.1</v>
      </c>
      <c r="F142" s="434"/>
      <c r="G142" s="435"/>
      <c r="H142" s="436"/>
      <c r="I142" s="437"/>
      <c r="J142" s="438"/>
      <c r="K142" s="435"/>
      <c r="L142" s="436">
        <v>34.4</v>
      </c>
      <c r="M142" s="437">
        <v>1400</v>
      </c>
      <c r="N142" s="438">
        <v>33.799999999999997</v>
      </c>
      <c r="O142" s="439">
        <v>1500</v>
      </c>
      <c r="P142" s="473">
        <v>6000</v>
      </c>
      <c r="Q142" s="472">
        <v>92</v>
      </c>
      <c r="R142" s="474">
        <v>0.95</v>
      </c>
      <c r="S142" s="391">
        <v>15.7</v>
      </c>
      <c r="T142" s="447">
        <v>224.7</v>
      </c>
      <c r="U142" s="394">
        <v>10</v>
      </c>
      <c r="V142" s="373"/>
      <c r="W142" s="475"/>
    </row>
    <row r="143" spans="1:23">
      <c r="A143" s="476" t="s">
        <v>614</v>
      </c>
      <c r="B143" s="425">
        <v>112</v>
      </c>
      <c r="C143" s="425">
        <v>40.799999999999997</v>
      </c>
      <c r="D143" s="477">
        <v>42</v>
      </c>
      <c r="E143" s="478">
        <v>13.6</v>
      </c>
      <c r="F143" s="479"/>
      <c r="G143" s="480"/>
      <c r="H143" s="481"/>
      <c r="I143" s="482"/>
      <c r="J143" s="483"/>
      <c r="K143" s="480"/>
      <c r="L143" s="481">
        <v>33.799999999999997</v>
      </c>
      <c r="M143" s="482">
        <v>1500</v>
      </c>
      <c r="N143" s="483">
        <v>32.1</v>
      </c>
      <c r="O143" s="484">
        <v>1800</v>
      </c>
      <c r="P143" s="485">
        <v>6000</v>
      </c>
      <c r="Q143" s="486">
        <v>92.1</v>
      </c>
      <c r="R143" s="487">
        <v>0.68</v>
      </c>
      <c r="S143" s="488">
        <v>12.4</v>
      </c>
      <c r="T143" s="489">
        <v>200</v>
      </c>
      <c r="U143" s="490">
        <v>10</v>
      </c>
      <c r="V143" s="373"/>
      <c r="W143" s="391" t="s">
        <v>537</v>
      </c>
    </row>
    <row r="144" spans="1:23">
      <c r="A144" s="475" t="s">
        <v>615</v>
      </c>
      <c r="B144" s="425">
        <v>111</v>
      </c>
      <c r="C144" s="425">
        <v>58.6</v>
      </c>
      <c r="D144" s="391">
        <v>41.6</v>
      </c>
      <c r="E144" s="391">
        <v>19.5</v>
      </c>
      <c r="F144" s="438"/>
      <c r="G144" s="435"/>
      <c r="H144" s="436"/>
      <c r="I144" s="437"/>
      <c r="J144" s="438">
        <v>34.700000000000003</v>
      </c>
      <c r="K144" s="435">
        <v>1300</v>
      </c>
      <c r="L144" s="436">
        <v>28.5</v>
      </c>
      <c r="M144" s="437">
        <v>2400</v>
      </c>
      <c r="N144" s="438">
        <v>26.3</v>
      </c>
      <c r="O144" s="435">
        <v>2800</v>
      </c>
      <c r="P144" s="425">
        <v>6000</v>
      </c>
      <c r="Q144" s="425">
        <v>92.1</v>
      </c>
      <c r="R144" s="404">
        <v>0.35</v>
      </c>
      <c r="S144" s="404">
        <v>5.9</v>
      </c>
      <c r="T144" s="405">
        <v>137</v>
      </c>
      <c r="U144" s="404">
        <v>10</v>
      </c>
      <c r="V144" s="373"/>
      <c r="W144" s="491" t="s">
        <v>537</v>
      </c>
    </row>
    <row r="145" spans="1:23">
      <c r="A145" s="448" t="s">
        <v>616</v>
      </c>
      <c r="B145" s="445">
        <v>111</v>
      </c>
      <c r="C145" s="445">
        <v>73.5</v>
      </c>
      <c r="D145" s="445">
        <v>41.5</v>
      </c>
      <c r="E145" s="445">
        <v>24.5</v>
      </c>
      <c r="F145" s="438"/>
      <c r="G145" s="435"/>
      <c r="H145" s="436"/>
      <c r="I145" s="437"/>
      <c r="J145" s="438">
        <v>33.4</v>
      </c>
      <c r="K145" s="435">
        <v>1500</v>
      </c>
      <c r="L145" s="436">
        <v>25.2</v>
      </c>
      <c r="M145" s="437">
        <v>3000</v>
      </c>
      <c r="N145" s="438">
        <v>22</v>
      </c>
      <c r="O145" s="435">
        <v>3500</v>
      </c>
      <c r="P145" s="445">
        <v>6000</v>
      </c>
      <c r="Q145" s="445">
        <v>92</v>
      </c>
      <c r="R145" s="391">
        <v>0.27</v>
      </c>
      <c r="S145" s="391">
        <v>3.7</v>
      </c>
      <c r="T145" s="447">
        <v>109.2</v>
      </c>
      <c r="U145" s="391">
        <v>10</v>
      </c>
      <c r="V145" s="373"/>
      <c r="W145" s="373"/>
    </row>
    <row r="146" spans="1:23">
      <c r="A146" s="475" t="s">
        <v>617</v>
      </c>
      <c r="B146" s="425">
        <v>143</v>
      </c>
      <c r="C146" s="425">
        <v>38.700000000000003</v>
      </c>
      <c r="D146" s="391">
        <v>53</v>
      </c>
      <c r="E146" s="391">
        <v>12.9</v>
      </c>
      <c r="F146" s="438"/>
      <c r="G146" s="435"/>
      <c r="H146" s="436"/>
      <c r="I146" s="437"/>
      <c r="J146" s="438"/>
      <c r="K146" s="435"/>
      <c r="L146" s="436">
        <v>45.5</v>
      </c>
      <c r="M146" s="437">
        <v>1200</v>
      </c>
      <c r="N146" s="438">
        <v>41.5</v>
      </c>
      <c r="O146" s="435">
        <v>1400</v>
      </c>
      <c r="P146" s="425">
        <v>6000</v>
      </c>
      <c r="Q146" s="425">
        <v>120</v>
      </c>
      <c r="R146" s="404">
        <v>0.85</v>
      </c>
      <c r="S146" s="404">
        <v>16.399999999999999</v>
      </c>
      <c r="T146" s="405">
        <v>266</v>
      </c>
      <c r="U146" s="404">
        <v>10</v>
      </c>
      <c r="V146" s="373"/>
      <c r="W146" s="491" t="s">
        <v>537</v>
      </c>
    </row>
    <row r="147" spans="1:23">
      <c r="A147" s="475" t="s">
        <v>618</v>
      </c>
      <c r="B147" s="425">
        <v>142</v>
      </c>
      <c r="C147" s="425">
        <v>55.5</v>
      </c>
      <c r="D147" s="391">
        <v>52.5</v>
      </c>
      <c r="E147" s="391">
        <v>18.5</v>
      </c>
      <c r="F147" s="438"/>
      <c r="G147" s="435"/>
      <c r="H147" s="436"/>
      <c r="I147" s="437"/>
      <c r="J147" s="438"/>
      <c r="K147" s="435"/>
      <c r="L147" s="436">
        <v>37.6</v>
      </c>
      <c r="M147" s="437">
        <v>1800</v>
      </c>
      <c r="N147" s="438">
        <v>35.9</v>
      </c>
      <c r="O147" s="435">
        <v>2000</v>
      </c>
      <c r="P147" s="425">
        <v>6000</v>
      </c>
      <c r="Q147" s="425">
        <v>120</v>
      </c>
      <c r="R147" s="404">
        <v>0.43</v>
      </c>
      <c r="S147" s="404">
        <v>7.7</v>
      </c>
      <c r="T147" s="405">
        <v>183</v>
      </c>
      <c r="U147" s="404">
        <v>10</v>
      </c>
      <c r="V147" s="373"/>
      <c r="W147" s="491" t="s">
        <v>537</v>
      </c>
    </row>
    <row r="148" spans="1:23">
      <c r="A148" s="448" t="s">
        <v>619</v>
      </c>
      <c r="B148" s="445">
        <v>141</v>
      </c>
      <c r="C148" s="445">
        <v>78.3</v>
      </c>
      <c r="D148" s="445">
        <v>52.2</v>
      </c>
      <c r="E148" s="445">
        <v>26.1</v>
      </c>
      <c r="F148" s="438"/>
      <c r="G148" s="435"/>
      <c r="H148" s="436"/>
      <c r="I148" s="437"/>
      <c r="J148" s="438">
        <v>41.9</v>
      </c>
      <c r="K148" s="435">
        <v>1300</v>
      </c>
      <c r="L148" s="436">
        <v>31.5</v>
      </c>
      <c r="M148" s="437">
        <v>2500</v>
      </c>
      <c r="N148" s="438">
        <v>27.3</v>
      </c>
      <c r="O148" s="435">
        <v>3000</v>
      </c>
      <c r="P148" s="445">
        <v>6000</v>
      </c>
      <c r="Q148" s="445">
        <v>120</v>
      </c>
      <c r="R148" s="391">
        <v>0.26</v>
      </c>
      <c r="S148" s="391">
        <v>3.8</v>
      </c>
      <c r="T148" s="447">
        <v>129</v>
      </c>
      <c r="U148" s="391">
        <v>10</v>
      </c>
      <c r="V148" s="373"/>
      <c r="W148" s="373"/>
    </row>
    <row r="149" spans="1:23">
      <c r="A149" s="492" t="s">
        <v>620</v>
      </c>
      <c r="B149" s="493">
        <v>210</v>
      </c>
      <c r="C149" s="441">
        <v>144</v>
      </c>
      <c r="D149" s="441">
        <v>75</v>
      </c>
      <c r="E149" s="494">
        <v>48</v>
      </c>
      <c r="F149" s="395"/>
      <c r="G149" s="396"/>
      <c r="H149" s="397"/>
      <c r="I149" s="398"/>
      <c r="J149" s="399"/>
      <c r="K149" s="396"/>
      <c r="L149" s="397">
        <v>47.5</v>
      </c>
      <c r="M149" s="398">
        <v>2500</v>
      </c>
      <c r="N149" s="399">
        <v>38</v>
      </c>
      <c r="O149" s="495">
        <v>3000</v>
      </c>
      <c r="P149" s="493">
        <v>4000</v>
      </c>
      <c r="Q149" s="494">
        <v>172</v>
      </c>
      <c r="R149" s="496">
        <v>9.1999999999999998E-2</v>
      </c>
      <c r="S149" s="426">
        <v>2.73</v>
      </c>
      <c r="T149" s="443">
        <v>108.4</v>
      </c>
      <c r="U149" s="497">
        <v>10</v>
      </c>
      <c r="V149" s="373"/>
      <c r="W149" s="373"/>
    </row>
    <row r="150" spans="1:23">
      <c r="A150" s="492" t="s">
        <v>621</v>
      </c>
      <c r="B150" s="493">
        <v>456</v>
      </c>
      <c r="C150" s="441">
        <v>186</v>
      </c>
      <c r="D150" s="441">
        <v>130</v>
      </c>
      <c r="E150" s="494">
        <v>62</v>
      </c>
      <c r="F150" s="395"/>
      <c r="G150" s="396"/>
      <c r="H150" s="397"/>
      <c r="I150" s="398"/>
      <c r="J150" s="399"/>
      <c r="K150" s="396"/>
      <c r="L150" s="397">
        <v>70</v>
      </c>
      <c r="M150" s="398">
        <v>2200</v>
      </c>
      <c r="N150" s="399">
        <v>60</v>
      </c>
      <c r="O150" s="495">
        <v>2500</v>
      </c>
      <c r="P150" s="493">
        <v>4000</v>
      </c>
      <c r="Q150" s="494">
        <v>334</v>
      </c>
      <c r="R150" s="496">
        <v>6.0999999999999999E-2</v>
      </c>
      <c r="S150" s="426">
        <v>2.36</v>
      </c>
      <c r="T150" s="443">
        <v>140.1</v>
      </c>
      <c r="U150" s="497">
        <v>10</v>
      </c>
      <c r="V150" s="373"/>
      <c r="W150" s="373"/>
    </row>
    <row r="151" spans="1:23" ht="13.5" thickBot="1">
      <c r="A151" s="492" t="s">
        <v>622</v>
      </c>
      <c r="B151" s="493">
        <v>668</v>
      </c>
      <c r="C151" s="441">
        <v>201</v>
      </c>
      <c r="D151" s="441">
        <v>180</v>
      </c>
      <c r="E151" s="494">
        <v>67</v>
      </c>
      <c r="F151" s="395"/>
      <c r="G151" s="396"/>
      <c r="H151" s="397"/>
      <c r="I151" s="398"/>
      <c r="J151" s="399"/>
      <c r="K151" s="396"/>
      <c r="L151" s="397">
        <v>105</v>
      </c>
      <c r="M151" s="398">
        <v>2000</v>
      </c>
      <c r="N151" s="399">
        <v>93</v>
      </c>
      <c r="O151" s="495">
        <v>2000</v>
      </c>
      <c r="P151" s="493">
        <v>4000</v>
      </c>
      <c r="Q151" s="494">
        <v>495</v>
      </c>
      <c r="R151" s="496">
        <v>5.8000000000000003E-2</v>
      </c>
      <c r="S151" s="426">
        <v>2.5</v>
      </c>
      <c r="T151" s="443">
        <v>177.4</v>
      </c>
      <c r="U151" s="497">
        <v>10</v>
      </c>
      <c r="V151" s="373"/>
      <c r="W151" s="373"/>
    </row>
    <row r="152" spans="1:23">
      <c r="A152" s="375" t="s">
        <v>623</v>
      </c>
      <c r="B152" s="376">
        <v>4</v>
      </c>
      <c r="C152" s="498">
        <v>5</v>
      </c>
      <c r="D152" s="498">
        <v>1</v>
      </c>
      <c r="E152" s="499">
        <v>1.1000000000000001</v>
      </c>
      <c r="F152" s="500"/>
      <c r="G152" s="380"/>
      <c r="H152" s="381"/>
      <c r="I152" s="382"/>
      <c r="J152" s="383"/>
      <c r="K152" s="380"/>
      <c r="L152" s="381">
        <v>0.9</v>
      </c>
      <c r="M152" s="382">
        <v>3000</v>
      </c>
      <c r="N152" s="383">
        <v>0.88</v>
      </c>
      <c r="O152" s="501">
        <v>3600</v>
      </c>
      <c r="P152" s="502">
        <v>9000</v>
      </c>
      <c r="Q152" s="386">
        <v>0.79</v>
      </c>
      <c r="R152" s="385">
        <v>38</v>
      </c>
      <c r="S152" s="503">
        <v>70</v>
      </c>
      <c r="T152" s="504">
        <v>56</v>
      </c>
      <c r="U152" s="390">
        <v>6</v>
      </c>
      <c r="V152" s="373"/>
      <c r="W152" s="391" t="s">
        <v>511</v>
      </c>
    </row>
    <row r="153" spans="1:23">
      <c r="A153" s="392" t="s">
        <v>624</v>
      </c>
      <c r="B153" s="393">
        <v>4</v>
      </c>
      <c r="C153" s="457">
        <v>8.6999999999999993</v>
      </c>
      <c r="D153" s="457">
        <v>1</v>
      </c>
      <c r="E153" s="505">
        <v>1.9</v>
      </c>
      <c r="F153" s="506"/>
      <c r="G153" s="435"/>
      <c r="H153" s="436"/>
      <c r="I153" s="437"/>
      <c r="J153" s="438">
        <v>0.9</v>
      </c>
      <c r="K153" s="435">
        <v>3000</v>
      </c>
      <c r="L153" s="436"/>
      <c r="M153" s="437"/>
      <c r="N153" s="438"/>
      <c r="O153" s="507"/>
      <c r="P153" s="508">
        <v>9000</v>
      </c>
      <c r="Q153" s="402">
        <v>0.79</v>
      </c>
      <c r="R153" s="401">
        <v>13</v>
      </c>
      <c r="S153" s="425">
        <v>24</v>
      </c>
      <c r="T153" s="509">
        <v>32</v>
      </c>
      <c r="U153" s="406">
        <v>6</v>
      </c>
      <c r="V153" s="373"/>
      <c r="W153" s="391" t="s">
        <v>511</v>
      </c>
    </row>
    <row r="154" spans="1:23">
      <c r="A154" s="392" t="s">
        <v>625</v>
      </c>
      <c r="B154" s="393">
        <v>6.3</v>
      </c>
      <c r="C154" s="457">
        <v>4.9000000000000004</v>
      </c>
      <c r="D154" s="457">
        <v>1.6</v>
      </c>
      <c r="E154" s="505">
        <v>1.1000000000000001</v>
      </c>
      <c r="F154" s="506"/>
      <c r="G154" s="435"/>
      <c r="H154" s="436"/>
      <c r="I154" s="437"/>
      <c r="J154" s="438"/>
      <c r="K154" s="435"/>
      <c r="L154" s="436">
        <v>1.4</v>
      </c>
      <c r="M154" s="437">
        <v>3000</v>
      </c>
      <c r="N154" s="438">
        <v>1.35</v>
      </c>
      <c r="O154" s="507">
        <v>3600</v>
      </c>
      <c r="P154" s="508">
        <v>9000</v>
      </c>
      <c r="Q154" s="402">
        <v>1.28</v>
      </c>
      <c r="R154" s="401">
        <v>25</v>
      </c>
      <c r="S154" s="425">
        <v>68</v>
      </c>
      <c r="T154" s="509">
        <v>90</v>
      </c>
      <c r="U154" s="406">
        <v>6</v>
      </c>
      <c r="V154" s="373"/>
      <c r="W154" s="391" t="s">
        <v>511</v>
      </c>
    </row>
    <row r="155" spans="1:23">
      <c r="A155" s="392" t="s">
        <v>626</v>
      </c>
      <c r="B155" s="393">
        <v>5.5</v>
      </c>
      <c r="C155" s="457">
        <v>7.1</v>
      </c>
      <c r="D155" s="457">
        <v>1.6</v>
      </c>
      <c r="E155" s="505">
        <v>1.9</v>
      </c>
      <c r="F155" s="506"/>
      <c r="G155" s="435"/>
      <c r="H155" s="436"/>
      <c r="I155" s="437"/>
      <c r="J155" s="438">
        <v>1.4</v>
      </c>
      <c r="K155" s="435">
        <v>3000</v>
      </c>
      <c r="L155" s="436"/>
      <c r="M155" s="437"/>
      <c r="N155" s="438"/>
      <c r="O155" s="507"/>
      <c r="P155" s="508">
        <v>9000</v>
      </c>
      <c r="Q155" s="402">
        <v>1.28</v>
      </c>
      <c r="R155" s="401">
        <v>7.6</v>
      </c>
      <c r="S155" s="425">
        <v>18</v>
      </c>
      <c r="T155" s="509">
        <v>51</v>
      </c>
      <c r="U155" s="406">
        <v>6</v>
      </c>
      <c r="V155" s="373"/>
      <c r="W155" s="391" t="s">
        <v>511</v>
      </c>
    </row>
    <row r="156" spans="1:23">
      <c r="A156" s="392" t="s">
        <v>627</v>
      </c>
      <c r="B156" s="393">
        <v>8.5</v>
      </c>
      <c r="C156" s="457">
        <v>7</v>
      </c>
      <c r="D156" s="457">
        <v>2.1</v>
      </c>
      <c r="E156" s="505">
        <v>1.5</v>
      </c>
      <c r="F156" s="506"/>
      <c r="G156" s="435"/>
      <c r="H156" s="436"/>
      <c r="I156" s="437"/>
      <c r="J156" s="438"/>
      <c r="K156" s="435"/>
      <c r="L156" s="436">
        <v>1.9</v>
      </c>
      <c r="M156" s="437">
        <v>3000</v>
      </c>
      <c r="N156" s="438">
        <v>1.8</v>
      </c>
      <c r="O156" s="507">
        <v>3600</v>
      </c>
      <c r="P156" s="508">
        <v>9000</v>
      </c>
      <c r="Q156" s="402">
        <v>4.13</v>
      </c>
      <c r="R156" s="401">
        <v>22</v>
      </c>
      <c r="S156" s="425">
        <v>60</v>
      </c>
      <c r="T156" s="509">
        <v>83</v>
      </c>
      <c r="U156" s="406">
        <v>6</v>
      </c>
      <c r="V156" s="373"/>
      <c r="W156" s="391" t="s">
        <v>511</v>
      </c>
    </row>
    <row r="157" spans="1:23">
      <c r="A157" s="392" t="s">
        <v>628</v>
      </c>
      <c r="B157" s="393">
        <v>7</v>
      </c>
      <c r="C157" s="457">
        <v>14.6</v>
      </c>
      <c r="D157" s="457">
        <v>2.1</v>
      </c>
      <c r="E157" s="505">
        <v>4</v>
      </c>
      <c r="F157" s="506"/>
      <c r="G157" s="435"/>
      <c r="H157" s="436"/>
      <c r="I157" s="437"/>
      <c r="J157" s="438">
        <v>1.9</v>
      </c>
      <c r="K157" s="435">
        <v>3000</v>
      </c>
      <c r="L157" s="436"/>
      <c r="M157" s="437"/>
      <c r="N157" s="438"/>
      <c r="O157" s="507"/>
      <c r="P157" s="508">
        <v>9000</v>
      </c>
      <c r="Q157" s="402">
        <v>4.13</v>
      </c>
      <c r="R157" s="401">
        <v>3.1</v>
      </c>
      <c r="S157" s="425">
        <v>10</v>
      </c>
      <c r="T157" s="509">
        <v>32</v>
      </c>
      <c r="U157" s="406">
        <v>6</v>
      </c>
      <c r="V157" s="373"/>
      <c r="W157" s="391" t="s">
        <v>511</v>
      </c>
    </row>
    <row r="158" spans="1:23">
      <c r="A158" s="392" t="s">
        <v>629</v>
      </c>
      <c r="B158" s="393">
        <v>16.899999999999999</v>
      </c>
      <c r="C158" s="457">
        <v>13</v>
      </c>
      <c r="D158" s="457">
        <v>4.3</v>
      </c>
      <c r="E158" s="505">
        <v>2.9</v>
      </c>
      <c r="F158" s="506"/>
      <c r="G158" s="435"/>
      <c r="H158" s="436"/>
      <c r="I158" s="437"/>
      <c r="J158" s="438"/>
      <c r="K158" s="435"/>
      <c r="L158" s="436">
        <v>3.9</v>
      </c>
      <c r="M158" s="437">
        <v>3000</v>
      </c>
      <c r="N158" s="438">
        <v>3.8</v>
      </c>
      <c r="O158" s="507">
        <v>3600</v>
      </c>
      <c r="P158" s="508">
        <v>9000</v>
      </c>
      <c r="Q158" s="402">
        <v>5.78</v>
      </c>
      <c r="R158" s="401">
        <v>7.1</v>
      </c>
      <c r="S158" s="425">
        <v>32</v>
      </c>
      <c r="T158" s="509">
        <v>90</v>
      </c>
      <c r="U158" s="406">
        <v>6</v>
      </c>
      <c r="V158" s="373"/>
      <c r="W158" s="391" t="s">
        <v>511</v>
      </c>
    </row>
    <row r="159" spans="1:23">
      <c r="A159" s="392" t="s">
        <v>630</v>
      </c>
      <c r="B159" s="393">
        <v>16.899999999999999</v>
      </c>
      <c r="C159" s="457">
        <v>22.5</v>
      </c>
      <c r="D159" s="457">
        <v>4.3</v>
      </c>
      <c r="E159" s="505">
        <v>5</v>
      </c>
      <c r="F159" s="506"/>
      <c r="G159" s="435"/>
      <c r="H159" s="436"/>
      <c r="I159" s="437"/>
      <c r="J159" s="438">
        <v>3.9</v>
      </c>
      <c r="K159" s="435">
        <v>3000</v>
      </c>
      <c r="L159" s="436"/>
      <c r="M159" s="437"/>
      <c r="N159" s="438"/>
      <c r="O159" s="507"/>
      <c r="P159" s="508">
        <v>9000</v>
      </c>
      <c r="Q159" s="402">
        <v>5.78</v>
      </c>
      <c r="R159" s="401">
        <v>2.2000000000000002</v>
      </c>
      <c r="S159" s="425">
        <v>10</v>
      </c>
      <c r="T159" s="509">
        <v>53</v>
      </c>
      <c r="U159" s="406">
        <v>6</v>
      </c>
      <c r="V159" s="373"/>
      <c r="W159" s="391" t="s">
        <v>511</v>
      </c>
    </row>
    <row r="160" spans="1:23">
      <c r="A160" s="392" t="s">
        <v>631</v>
      </c>
      <c r="B160" s="393">
        <v>14.1</v>
      </c>
      <c r="C160" s="457">
        <v>13</v>
      </c>
      <c r="D160" s="457">
        <v>3.5</v>
      </c>
      <c r="E160" s="505">
        <v>2.8</v>
      </c>
      <c r="F160" s="506"/>
      <c r="G160" s="435"/>
      <c r="H160" s="436"/>
      <c r="I160" s="437"/>
      <c r="J160" s="438"/>
      <c r="K160" s="435"/>
      <c r="L160" s="436">
        <v>3</v>
      </c>
      <c r="M160" s="437">
        <v>3000</v>
      </c>
      <c r="N160" s="438">
        <v>2.9</v>
      </c>
      <c r="O160" s="507">
        <v>3600</v>
      </c>
      <c r="P160" s="508">
        <v>9000</v>
      </c>
      <c r="Q160" s="402">
        <v>8</v>
      </c>
      <c r="R160" s="401">
        <v>12</v>
      </c>
      <c r="S160" s="425">
        <v>56</v>
      </c>
      <c r="T160" s="509">
        <v>77</v>
      </c>
      <c r="U160" s="406">
        <v>6</v>
      </c>
      <c r="V160" s="373"/>
      <c r="W160" s="391" t="s">
        <v>511</v>
      </c>
    </row>
    <row r="161" spans="1:23">
      <c r="A161" s="392" t="s">
        <v>632</v>
      </c>
      <c r="B161" s="393">
        <v>28</v>
      </c>
      <c r="C161" s="457">
        <v>23</v>
      </c>
      <c r="D161" s="457">
        <v>7</v>
      </c>
      <c r="E161" s="505">
        <v>5</v>
      </c>
      <c r="F161" s="506"/>
      <c r="G161" s="435"/>
      <c r="H161" s="436"/>
      <c r="I161" s="437"/>
      <c r="J161" s="438"/>
      <c r="K161" s="435"/>
      <c r="L161" s="436">
        <v>6</v>
      </c>
      <c r="M161" s="437">
        <v>3000</v>
      </c>
      <c r="N161" s="438">
        <v>5.7</v>
      </c>
      <c r="O161" s="507">
        <v>3600</v>
      </c>
      <c r="P161" s="508">
        <v>9000</v>
      </c>
      <c r="Q161" s="402">
        <v>11.35</v>
      </c>
      <c r="R161" s="401">
        <v>4.4000000000000004</v>
      </c>
      <c r="S161" s="425">
        <v>34</v>
      </c>
      <c r="T161" s="509">
        <v>84</v>
      </c>
      <c r="U161" s="406">
        <v>6</v>
      </c>
      <c r="V161" s="373"/>
      <c r="W161" s="391" t="s">
        <v>511</v>
      </c>
    </row>
    <row r="162" spans="1:23">
      <c r="A162" s="392" t="s">
        <v>633</v>
      </c>
      <c r="B162" s="393">
        <v>26.3</v>
      </c>
      <c r="C162" s="457">
        <v>21</v>
      </c>
      <c r="D162" s="457">
        <v>6.5</v>
      </c>
      <c r="E162" s="505">
        <v>4.5</v>
      </c>
      <c r="F162" s="506"/>
      <c r="G162" s="435"/>
      <c r="H162" s="436"/>
      <c r="I162" s="437"/>
      <c r="J162" s="438"/>
      <c r="K162" s="435"/>
      <c r="L162" s="436">
        <v>5</v>
      </c>
      <c r="M162" s="437">
        <v>3000</v>
      </c>
      <c r="N162" s="438">
        <v>4.7</v>
      </c>
      <c r="O162" s="507">
        <v>3600</v>
      </c>
      <c r="P162" s="508">
        <v>9000</v>
      </c>
      <c r="Q162" s="402">
        <v>32.36</v>
      </c>
      <c r="R162" s="401">
        <v>4.1500000000000004</v>
      </c>
      <c r="S162" s="425">
        <v>22</v>
      </c>
      <c r="T162" s="509">
        <v>87</v>
      </c>
      <c r="U162" s="406">
        <v>6</v>
      </c>
      <c r="V162" s="373"/>
      <c r="W162" s="391" t="s">
        <v>511</v>
      </c>
    </row>
    <row r="163" spans="1:23">
      <c r="A163" s="392" t="s">
        <v>634</v>
      </c>
      <c r="B163" s="393">
        <v>48</v>
      </c>
      <c r="C163" s="457">
        <v>34.5</v>
      </c>
      <c r="D163" s="457">
        <v>12</v>
      </c>
      <c r="E163" s="505">
        <v>7.5</v>
      </c>
      <c r="F163" s="506"/>
      <c r="G163" s="435"/>
      <c r="H163" s="436"/>
      <c r="I163" s="437"/>
      <c r="J163" s="438"/>
      <c r="K163" s="435"/>
      <c r="L163" s="436">
        <v>10</v>
      </c>
      <c r="M163" s="437">
        <v>3000</v>
      </c>
      <c r="N163" s="438">
        <v>9.6</v>
      </c>
      <c r="O163" s="507">
        <v>3600</v>
      </c>
      <c r="P163" s="508">
        <v>9000</v>
      </c>
      <c r="Q163" s="402">
        <v>53.11</v>
      </c>
      <c r="R163" s="401">
        <v>1.65</v>
      </c>
      <c r="S163" s="425">
        <v>11.5</v>
      </c>
      <c r="T163" s="509">
        <v>98</v>
      </c>
      <c r="U163" s="406">
        <v>6</v>
      </c>
      <c r="V163" s="373"/>
      <c r="W163" s="391" t="s">
        <v>511</v>
      </c>
    </row>
    <row r="164" spans="1:23" ht="13.5" thickBot="1">
      <c r="A164" s="408" t="s">
        <v>635</v>
      </c>
      <c r="B164" s="409">
        <v>78.8</v>
      </c>
      <c r="C164" s="510">
        <v>55</v>
      </c>
      <c r="D164" s="510">
        <v>19.5</v>
      </c>
      <c r="E164" s="511">
        <v>11.8</v>
      </c>
      <c r="F164" s="512"/>
      <c r="G164" s="480"/>
      <c r="H164" s="481"/>
      <c r="I164" s="482"/>
      <c r="J164" s="483"/>
      <c r="K164" s="480"/>
      <c r="L164" s="481">
        <v>15</v>
      </c>
      <c r="M164" s="482">
        <v>3000</v>
      </c>
      <c r="N164" s="483">
        <v>14</v>
      </c>
      <c r="O164" s="513">
        <v>3600</v>
      </c>
      <c r="P164" s="514">
        <v>9000</v>
      </c>
      <c r="Q164" s="486">
        <v>69.16</v>
      </c>
      <c r="R164" s="485">
        <v>0.9</v>
      </c>
      <c r="S164" s="515">
        <v>7</v>
      </c>
      <c r="T164" s="516">
        <v>100</v>
      </c>
      <c r="U164" s="490">
        <v>6</v>
      </c>
      <c r="V164" s="373"/>
      <c r="W164" s="391" t="s">
        <v>511</v>
      </c>
    </row>
    <row r="165" spans="1:23">
      <c r="A165" s="375" t="s">
        <v>636</v>
      </c>
      <c r="B165" s="376">
        <v>0.4</v>
      </c>
      <c r="C165" s="498">
        <v>2.8</v>
      </c>
      <c r="D165" s="498">
        <v>0.1</v>
      </c>
      <c r="E165" s="499">
        <v>0.6</v>
      </c>
      <c r="F165" s="500"/>
      <c r="G165" s="380"/>
      <c r="H165" s="381"/>
      <c r="I165" s="382"/>
      <c r="J165" s="383">
        <v>0.09</v>
      </c>
      <c r="K165" s="380">
        <v>6000</v>
      </c>
      <c r="L165" s="381"/>
      <c r="M165" s="382"/>
      <c r="N165" s="383"/>
      <c r="O165" s="501"/>
      <c r="P165" s="502">
        <v>12000</v>
      </c>
      <c r="Q165" s="386">
        <v>0.06</v>
      </c>
      <c r="R165" s="385">
        <v>38.200000000000003</v>
      </c>
      <c r="S165" s="503">
        <v>6.5</v>
      </c>
      <c r="T165" s="504">
        <v>10</v>
      </c>
      <c r="U165" s="390">
        <v>6</v>
      </c>
      <c r="V165" s="373"/>
      <c r="W165" s="391" t="s">
        <v>511</v>
      </c>
    </row>
    <row r="166" spans="1:23">
      <c r="A166" s="392" t="s">
        <v>637</v>
      </c>
      <c r="B166" s="393">
        <v>0.8</v>
      </c>
      <c r="C166" s="457">
        <v>4.3</v>
      </c>
      <c r="D166" s="457">
        <v>0.2</v>
      </c>
      <c r="E166" s="505">
        <v>0.93</v>
      </c>
      <c r="F166" s="506"/>
      <c r="G166" s="435"/>
      <c r="H166" s="436"/>
      <c r="I166" s="437"/>
      <c r="J166" s="438">
        <v>0.18</v>
      </c>
      <c r="K166" s="435">
        <v>6000</v>
      </c>
      <c r="L166" s="436"/>
      <c r="M166" s="437"/>
      <c r="N166" s="438"/>
      <c r="O166" s="507"/>
      <c r="P166" s="508">
        <v>12000</v>
      </c>
      <c r="Q166" s="402">
        <v>0.12</v>
      </c>
      <c r="R166" s="401">
        <v>22</v>
      </c>
      <c r="S166" s="425">
        <v>4.7</v>
      </c>
      <c r="T166" s="509">
        <v>13</v>
      </c>
      <c r="U166" s="406">
        <v>6</v>
      </c>
      <c r="V166" s="373"/>
      <c r="W166" s="391" t="s">
        <v>511</v>
      </c>
    </row>
    <row r="167" spans="1:23">
      <c r="A167" s="392" t="s">
        <v>638</v>
      </c>
      <c r="B167" s="393">
        <v>1.6</v>
      </c>
      <c r="C167" s="457">
        <v>4.3</v>
      </c>
      <c r="D167" s="457">
        <v>0.4</v>
      </c>
      <c r="E167" s="505">
        <v>0.93</v>
      </c>
      <c r="F167" s="506"/>
      <c r="G167" s="435"/>
      <c r="H167" s="436"/>
      <c r="I167" s="437"/>
      <c r="J167" s="438">
        <v>0.36</v>
      </c>
      <c r="K167" s="435">
        <v>4500</v>
      </c>
      <c r="L167" s="436">
        <v>0.34</v>
      </c>
      <c r="M167" s="437">
        <v>6000</v>
      </c>
      <c r="N167" s="438"/>
      <c r="O167" s="507"/>
      <c r="P167" s="508">
        <v>12000</v>
      </c>
      <c r="Q167" s="402">
        <v>0.08</v>
      </c>
      <c r="R167" s="401">
        <v>26.5</v>
      </c>
      <c r="S167" s="425">
        <v>20</v>
      </c>
      <c r="T167" s="509">
        <v>26</v>
      </c>
      <c r="U167" s="406">
        <v>6</v>
      </c>
      <c r="V167" s="373"/>
      <c r="W167" s="391" t="s">
        <v>511</v>
      </c>
    </row>
    <row r="168" spans="1:23">
      <c r="A168" s="392" t="s">
        <v>639</v>
      </c>
      <c r="B168" s="393">
        <v>2.4</v>
      </c>
      <c r="C168" s="457">
        <v>6.8</v>
      </c>
      <c r="D168" s="457">
        <v>0.6</v>
      </c>
      <c r="E168" s="505">
        <v>1.5</v>
      </c>
      <c r="F168" s="506"/>
      <c r="G168" s="435"/>
      <c r="H168" s="436"/>
      <c r="I168" s="437"/>
      <c r="J168" s="438">
        <v>0.55000000000000004</v>
      </c>
      <c r="K168" s="435">
        <v>4500</v>
      </c>
      <c r="L168" s="436">
        <v>0.52</v>
      </c>
      <c r="M168" s="437">
        <v>6000</v>
      </c>
      <c r="N168" s="438"/>
      <c r="O168" s="507"/>
      <c r="P168" s="508">
        <v>12000</v>
      </c>
      <c r="Q168" s="402">
        <v>0.11</v>
      </c>
      <c r="R168" s="401">
        <v>14.8</v>
      </c>
      <c r="S168" s="425">
        <v>13.2</v>
      </c>
      <c r="T168" s="509">
        <v>25</v>
      </c>
      <c r="U168" s="406">
        <v>6</v>
      </c>
      <c r="V168" s="373"/>
      <c r="W168" s="391" t="s">
        <v>511</v>
      </c>
    </row>
    <row r="169" spans="1:23">
      <c r="A169" s="392" t="s">
        <v>640</v>
      </c>
      <c r="B169" s="393">
        <v>3.2</v>
      </c>
      <c r="C169" s="457">
        <v>3.8</v>
      </c>
      <c r="D169" s="457">
        <v>0.8</v>
      </c>
      <c r="E169" s="505">
        <v>0.83</v>
      </c>
      <c r="F169" s="506"/>
      <c r="G169" s="435"/>
      <c r="H169" s="436"/>
      <c r="I169" s="437"/>
      <c r="J169" s="438"/>
      <c r="K169" s="435"/>
      <c r="L169" s="436">
        <v>0.72</v>
      </c>
      <c r="M169" s="437">
        <v>4500</v>
      </c>
      <c r="N169" s="438"/>
      <c r="O169" s="507"/>
      <c r="P169" s="508">
        <v>12000</v>
      </c>
      <c r="Q169" s="402">
        <v>0.13</v>
      </c>
      <c r="R169" s="401">
        <v>47.7</v>
      </c>
      <c r="S169" s="425">
        <v>43</v>
      </c>
      <c r="T169" s="509">
        <v>58</v>
      </c>
      <c r="U169" s="406">
        <v>6</v>
      </c>
      <c r="V169" s="373"/>
      <c r="W169" s="391" t="s">
        <v>511</v>
      </c>
    </row>
    <row r="170" spans="1:23">
      <c r="A170" s="392" t="s">
        <v>641</v>
      </c>
      <c r="B170" s="393">
        <v>3.2</v>
      </c>
      <c r="C170" s="457">
        <v>6.8</v>
      </c>
      <c r="D170" s="457">
        <v>0.8</v>
      </c>
      <c r="E170" s="505">
        <v>1.49</v>
      </c>
      <c r="F170" s="506"/>
      <c r="G170" s="435"/>
      <c r="H170" s="436"/>
      <c r="I170" s="437"/>
      <c r="J170" s="438">
        <v>0.72</v>
      </c>
      <c r="K170" s="435">
        <v>4500</v>
      </c>
      <c r="L170" s="436">
        <v>0.69</v>
      </c>
      <c r="M170" s="437">
        <v>6000</v>
      </c>
      <c r="N170" s="438"/>
      <c r="O170" s="507"/>
      <c r="P170" s="508">
        <v>12000</v>
      </c>
      <c r="Q170" s="402">
        <v>0.13</v>
      </c>
      <c r="R170" s="401">
        <v>14.7</v>
      </c>
      <c r="S170" s="425">
        <v>13</v>
      </c>
      <c r="T170" s="509">
        <v>33</v>
      </c>
      <c r="U170" s="406">
        <v>6</v>
      </c>
      <c r="V170" s="373"/>
      <c r="W170" s="391" t="s">
        <v>511</v>
      </c>
    </row>
    <row r="171" spans="1:23">
      <c r="A171" s="392" t="s">
        <v>642</v>
      </c>
      <c r="B171" s="393">
        <v>2.5</v>
      </c>
      <c r="C171" s="457">
        <v>3</v>
      </c>
      <c r="D171" s="457">
        <v>0.65</v>
      </c>
      <c r="E171" s="505">
        <v>0.67</v>
      </c>
      <c r="F171" s="506"/>
      <c r="G171" s="435"/>
      <c r="H171" s="436"/>
      <c r="I171" s="437"/>
      <c r="J171" s="438"/>
      <c r="K171" s="435"/>
      <c r="L171" s="436">
        <v>0.6</v>
      </c>
      <c r="M171" s="437">
        <v>3000</v>
      </c>
      <c r="N171" s="438">
        <v>0.57999999999999996</v>
      </c>
      <c r="O171" s="507">
        <v>3600</v>
      </c>
      <c r="P171" s="508">
        <v>9000</v>
      </c>
      <c r="Q171" s="402">
        <v>0.5</v>
      </c>
      <c r="R171" s="401">
        <v>79</v>
      </c>
      <c r="S171" s="425">
        <v>82.8</v>
      </c>
      <c r="T171" s="509">
        <v>59</v>
      </c>
      <c r="U171" s="406">
        <v>6</v>
      </c>
      <c r="V171" s="373"/>
      <c r="W171" s="391" t="s">
        <v>511</v>
      </c>
    </row>
    <row r="172" spans="1:23">
      <c r="A172" s="392" t="s">
        <v>643</v>
      </c>
      <c r="B172" s="393">
        <v>2.6</v>
      </c>
      <c r="C172" s="457">
        <v>5</v>
      </c>
      <c r="D172" s="457">
        <v>0.65</v>
      </c>
      <c r="E172" s="505">
        <v>1.08</v>
      </c>
      <c r="F172" s="506"/>
      <c r="G172" s="435"/>
      <c r="H172" s="436"/>
      <c r="I172" s="437"/>
      <c r="J172" s="438">
        <v>0.6</v>
      </c>
      <c r="K172" s="435">
        <v>3000</v>
      </c>
      <c r="L172" s="436">
        <v>0.48</v>
      </c>
      <c r="M172" s="437">
        <v>6000</v>
      </c>
      <c r="N172" s="438"/>
      <c r="O172" s="507"/>
      <c r="P172" s="508">
        <v>9000</v>
      </c>
      <c r="Q172" s="402">
        <v>0.5</v>
      </c>
      <c r="R172" s="401">
        <v>30.3</v>
      </c>
      <c r="S172" s="425">
        <v>31</v>
      </c>
      <c r="T172" s="509">
        <v>36.5</v>
      </c>
      <c r="U172" s="406">
        <v>6</v>
      </c>
      <c r="V172" s="373"/>
      <c r="W172" s="391" t="s">
        <v>511</v>
      </c>
    </row>
    <row r="173" spans="1:23">
      <c r="A173" s="392" t="s">
        <v>644</v>
      </c>
      <c r="B173" s="393">
        <v>5.0999999999999996</v>
      </c>
      <c r="C173" s="457">
        <v>4.5</v>
      </c>
      <c r="D173" s="457">
        <v>1.3</v>
      </c>
      <c r="E173" s="505">
        <v>1</v>
      </c>
      <c r="F173" s="506"/>
      <c r="G173" s="435"/>
      <c r="H173" s="436"/>
      <c r="I173" s="437"/>
      <c r="J173" s="438"/>
      <c r="K173" s="435"/>
      <c r="L173" s="436">
        <v>1.2</v>
      </c>
      <c r="M173" s="437">
        <v>3000</v>
      </c>
      <c r="N173" s="438">
        <v>1.1499999999999999</v>
      </c>
      <c r="O173" s="507">
        <v>3600</v>
      </c>
      <c r="P173" s="508">
        <v>9000</v>
      </c>
      <c r="Q173" s="402">
        <v>0.8</v>
      </c>
      <c r="R173" s="401">
        <v>35.5</v>
      </c>
      <c r="S173" s="425">
        <v>61</v>
      </c>
      <c r="T173" s="509">
        <v>77.5</v>
      </c>
      <c r="U173" s="406">
        <v>6</v>
      </c>
      <c r="V173" s="373"/>
      <c r="W173" s="391" t="s">
        <v>511</v>
      </c>
    </row>
    <row r="174" spans="1:23">
      <c r="A174" s="392" t="s">
        <v>645</v>
      </c>
      <c r="B174" s="393">
        <v>4.9000000000000004</v>
      </c>
      <c r="C174" s="457">
        <v>7.5</v>
      </c>
      <c r="D174" s="457">
        <v>1.3</v>
      </c>
      <c r="E174" s="505">
        <v>1.75</v>
      </c>
      <c r="F174" s="506"/>
      <c r="G174" s="435"/>
      <c r="H174" s="436"/>
      <c r="I174" s="437"/>
      <c r="J174" s="438">
        <v>1.2</v>
      </c>
      <c r="K174" s="435">
        <v>3000</v>
      </c>
      <c r="L174" s="436">
        <v>1.1000000000000001</v>
      </c>
      <c r="M174" s="437">
        <v>6000</v>
      </c>
      <c r="N174" s="438"/>
      <c r="O174" s="507"/>
      <c r="P174" s="508">
        <v>9000</v>
      </c>
      <c r="Q174" s="402">
        <v>0.8</v>
      </c>
      <c r="R174" s="401">
        <v>13</v>
      </c>
      <c r="S174" s="425">
        <v>22</v>
      </c>
      <c r="T174" s="509">
        <v>45</v>
      </c>
      <c r="U174" s="406">
        <v>6</v>
      </c>
      <c r="V174" s="373"/>
      <c r="W174" s="391" t="s">
        <v>511</v>
      </c>
    </row>
    <row r="175" spans="1:23">
      <c r="A175" s="392" t="s">
        <v>646</v>
      </c>
      <c r="B175" s="393">
        <v>7.6</v>
      </c>
      <c r="C175" s="457">
        <v>6.9</v>
      </c>
      <c r="D175" s="457">
        <v>1.9</v>
      </c>
      <c r="E175" s="505">
        <v>1.5</v>
      </c>
      <c r="F175" s="506"/>
      <c r="G175" s="435"/>
      <c r="H175" s="436"/>
      <c r="I175" s="437"/>
      <c r="J175" s="438"/>
      <c r="K175" s="435"/>
      <c r="L175" s="436">
        <v>1.6</v>
      </c>
      <c r="M175" s="437">
        <v>3000</v>
      </c>
      <c r="N175" s="438">
        <v>1.54</v>
      </c>
      <c r="O175" s="507">
        <v>3600</v>
      </c>
      <c r="P175" s="508">
        <v>9000</v>
      </c>
      <c r="Q175" s="402">
        <v>1</v>
      </c>
      <c r="R175" s="401">
        <v>21.3</v>
      </c>
      <c r="S175" s="425">
        <v>40</v>
      </c>
      <c r="T175" s="509">
        <v>77</v>
      </c>
      <c r="U175" s="406">
        <v>6</v>
      </c>
      <c r="V175" s="373"/>
      <c r="W175" s="391" t="s">
        <v>511</v>
      </c>
    </row>
    <row r="176" spans="1:23">
      <c r="A176" s="392" t="s">
        <v>647</v>
      </c>
      <c r="B176" s="393">
        <v>10.1</v>
      </c>
      <c r="C176" s="457">
        <v>13.9</v>
      </c>
      <c r="D176" s="457">
        <v>2.5</v>
      </c>
      <c r="E176" s="505">
        <v>3</v>
      </c>
      <c r="F176" s="506"/>
      <c r="G176" s="435"/>
      <c r="H176" s="436"/>
      <c r="I176" s="437"/>
      <c r="J176" s="438">
        <v>2.2000000000000002</v>
      </c>
      <c r="K176" s="435">
        <v>3000</v>
      </c>
      <c r="L176" s="436">
        <v>1.8</v>
      </c>
      <c r="M176" s="437">
        <v>6000</v>
      </c>
      <c r="N176" s="438"/>
      <c r="O176" s="507"/>
      <c r="P176" s="508">
        <v>9000</v>
      </c>
      <c r="Q176" s="402">
        <v>1.4</v>
      </c>
      <c r="R176" s="401">
        <v>5.0999999999999996</v>
      </c>
      <c r="S176" s="425">
        <v>11</v>
      </c>
      <c r="T176" s="509">
        <v>50</v>
      </c>
      <c r="U176" s="406">
        <v>6</v>
      </c>
      <c r="V176" s="373"/>
      <c r="W176" s="391" t="s">
        <v>511</v>
      </c>
    </row>
    <row r="177" spans="1:23">
      <c r="A177" s="392" t="s">
        <v>648</v>
      </c>
      <c r="B177" s="393">
        <v>11.9</v>
      </c>
      <c r="C177" s="457">
        <v>9.5</v>
      </c>
      <c r="D177" s="457">
        <v>3</v>
      </c>
      <c r="E177" s="505">
        <v>2.1</v>
      </c>
      <c r="F177" s="506"/>
      <c r="G177" s="435"/>
      <c r="H177" s="436"/>
      <c r="I177" s="437"/>
      <c r="J177" s="438"/>
      <c r="K177" s="435"/>
      <c r="L177" s="436">
        <v>2.6</v>
      </c>
      <c r="M177" s="437">
        <v>3000</v>
      </c>
      <c r="N177" s="438">
        <v>2.5</v>
      </c>
      <c r="O177" s="507">
        <v>3600</v>
      </c>
      <c r="P177" s="508">
        <v>9000</v>
      </c>
      <c r="Q177" s="402">
        <v>1.7</v>
      </c>
      <c r="R177" s="401">
        <v>11.5</v>
      </c>
      <c r="S177" s="425">
        <v>25</v>
      </c>
      <c r="T177" s="509">
        <v>88</v>
      </c>
      <c r="U177" s="406">
        <v>6</v>
      </c>
      <c r="V177" s="373"/>
      <c r="W177" s="391" t="s">
        <v>511</v>
      </c>
    </row>
    <row r="178" spans="1:23">
      <c r="A178" s="392" t="s">
        <v>649</v>
      </c>
      <c r="B178" s="393">
        <v>10.3</v>
      </c>
      <c r="C178" s="457">
        <v>8.6</v>
      </c>
      <c r="D178" s="457">
        <v>2.6</v>
      </c>
      <c r="E178" s="505">
        <v>1.9</v>
      </c>
      <c r="F178" s="506"/>
      <c r="G178" s="435"/>
      <c r="H178" s="436"/>
      <c r="I178" s="437"/>
      <c r="J178" s="438"/>
      <c r="K178" s="435"/>
      <c r="L178" s="436">
        <v>2.2999999999999998</v>
      </c>
      <c r="M178" s="437">
        <v>3000</v>
      </c>
      <c r="N178" s="438">
        <v>2.2000000000000002</v>
      </c>
      <c r="O178" s="507">
        <v>3600</v>
      </c>
      <c r="P178" s="508">
        <v>9000</v>
      </c>
      <c r="Q178" s="402">
        <v>2.1</v>
      </c>
      <c r="R178" s="401">
        <v>9.5</v>
      </c>
      <c r="S178" s="425">
        <v>40</v>
      </c>
      <c r="T178" s="509">
        <v>82</v>
      </c>
      <c r="U178" s="406">
        <v>6</v>
      </c>
      <c r="V178" s="373"/>
      <c r="W178" s="391" t="s">
        <v>511</v>
      </c>
    </row>
    <row r="179" spans="1:23">
      <c r="A179" s="392" t="s">
        <v>650</v>
      </c>
      <c r="B179" s="393">
        <v>10</v>
      </c>
      <c r="C179" s="457">
        <v>13</v>
      </c>
      <c r="D179" s="457">
        <v>2.6</v>
      </c>
      <c r="E179" s="505">
        <v>3</v>
      </c>
      <c r="F179" s="506"/>
      <c r="G179" s="435"/>
      <c r="H179" s="436"/>
      <c r="I179" s="437"/>
      <c r="J179" s="438">
        <v>2.2999999999999998</v>
      </c>
      <c r="K179" s="435">
        <v>3000</v>
      </c>
      <c r="L179" s="436"/>
      <c r="M179" s="437"/>
      <c r="N179" s="438"/>
      <c r="O179" s="507"/>
      <c r="P179" s="508">
        <v>9000</v>
      </c>
      <c r="Q179" s="402">
        <v>2.1</v>
      </c>
      <c r="R179" s="401">
        <v>3.8</v>
      </c>
      <c r="S179" s="425">
        <v>15</v>
      </c>
      <c r="T179" s="509">
        <v>52</v>
      </c>
      <c r="U179" s="406">
        <v>6</v>
      </c>
      <c r="V179" s="373"/>
      <c r="W179" s="391" t="s">
        <v>511</v>
      </c>
    </row>
    <row r="180" spans="1:23">
      <c r="A180" s="392" t="s">
        <v>651</v>
      </c>
      <c r="B180" s="393">
        <v>21.5</v>
      </c>
      <c r="C180" s="457">
        <v>15</v>
      </c>
      <c r="D180" s="457">
        <v>5.3</v>
      </c>
      <c r="E180" s="505">
        <v>3.2</v>
      </c>
      <c r="F180" s="506"/>
      <c r="G180" s="435"/>
      <c r="H180" s="436"/>
      <c r="I180" s="437"/>
      <c r="J180" s="438"/>
      <c r="K180" s="435"/>
      <c r="L180" s="436">
        <v>4.5999999999999996</v>
      </c>
      <c r="M180" s="437">
        <v>3000</v>
      </c>
      <c r="N180" s="438">
        <v>4.4000000000000004</v>
      </c>
      <c r="O180" s="507">
        <v>3600</v>
      </c>
      <c r="P180" s="508">
        <v>9000</v>
      </c>
      <c r="Q180" s="402">
        <v>2.8</v>
      </c>
      <c r="R180" s="401">
        <v>6.14</v>
      </c>
      <c r="S180" s="425">
        <v>30</v>
      </c>
      <c r="T180" s="509">
        <v>100</v>
      </c>
      <c r="U180" s="406">
        <v>6</v>
      </c>
      <c r="V180" s="373"/>
      <c r="W180" s="391" t="s">
        <v>511</v>
      </c>
    </row>
    <row r="181" spans="1:23">
      <c r="A181" s="392" t="s">
        <v>652</v>
      </c>
      <c r="B181" s="393">
        <v>21.3</v>
      </c>
      <c r="C181" s="457">
        <v>30</v>
      </c>
      <c r="D181" s="457">
        <v>5.3</v>
      </c>
      <c r="E181" s="505">
        <v>6.5</v>
      </c>
      <c r="F181" s="506"/>
      <c r="G181" s="435"/>
      <c r="H181" s="436"/>
      <c r="I181" s="437"/>
      <c r="J181" s="438">
        <v>4.5999999999999996</v>
      </c>
      <c r="K181" s="435">
        <v>3000</v>
      </c>
      <c r="L181" s="436"/>
      <c r="M181" s="437"/>
      <c r="N181" s="438"/>
      <c r="O181" s="507"/>
      <c r="P181" s="508">
        <v>9000</v>
      </c>
      <c r="Q181" s="402">
        <v>2.8</v>
      </c>
      <c r="R181" s="401">
        <v>1.65</v>
      </c>
      <c r="S181" s="425">
        <v>9.3000000000000007</v>
      </c>
      <c r="T181" s="509">
        <v>49</v>
      </c>
      <c r="U181" s="406">
        <v>6</v>
      </c>
      <c r="V181" s="373"/>
      <c r="W181" s="391" t="s">
        <v>511</v>
      </c>
    </row>
    <row r="182" spans="1:23">
      <c r="A182" s="392" t="s">
        <v>653</v>
      </c>
      <c r="B182" s="393">
        <v>30.2</v>
      </c>
      <c r="C182" s="457">
        <v>19</v>
      </c>
      <c r="D182" s="457">
        <v>7.5</v>
      </c>
      <c r="E182" s="505">
        <v>4.0999999999999996</v>
      </c>
      <c r="F182" s="506"/>
      <c r="G182" s="435"/>
      <c r="H182" s="436"/>
      <c r="I182" s="437"/>
      <c r="J182" s="438"/>
      <c r="K182" s="435"/>
      <c r="L182" s="436">
        <v>6.5</v>
      </c>
      <c r="M182" s="437">
        <v>3000</v>
      </c>
      <c r="N182" s="438">
        <v>6.25</v>
      </c>
      <c r="O182" s="507">
        <v>3600</v>
      </c>
      <c r="P182" s="508">
        <v>9000</v>
      </c>
      <c r="Q182" s="402">
        <v>4.3</v>
      </c>
      <c r="R182" s="401">
        <v>3.8</v>
      </c>
      <c r="S182" s="425">
        <v>22.6</v>
      </c>
      <c r="T182" s="509">
        <v>112</v>
      </c>
      <c r="U182" s="406">
        <v>6</v>
      </c>
      <c r="V182" s="373"/>
      <c r="W182" s="391" t="s">
        <v>511</v>
      </c>
    </row>
    <row r="183" spans="1:23">
      <c r="A183" s="392" t="s">
        <v>654</v>
      </c>
      <c r="B183" s="393">
        <v>29.9</v>
      </c>
      <c r="C183" s="457">
        <v>42.6</v>
      </c>
      <c r="D183" s="457">
        <v>7.5</v>
      </c>
      <c r="E183" s="505">
        <v>9.3000000000000007</v>
      </c>
      <c r="F183" s="506"/>
      <c r="G183" s="435"/>
      <c r="H183" s="436"/>
      <c r="I183" s="437"/>
      <c r="J183" s="438">
        <v>6.4</v>
      </c>
      <c r="K183" s="435">
        <v>3000</v>
      </c>
      <c r="L183" s="436"/>
      <c r="M183" s="437"/>
      <c r="N183" s="438"/>
      <c r="O183" s="507"/>
      <c r="P183" s="508">
        <v>9000</v>
      </c>
      <c r="Q183" s="402">
        <v>4.3</v>
      </c>
      <c r="R183" s="401">
        <v>0.86</v>
      </c>
      <c r="S183" s="425">
        <v>5.3</v>
      </c>
      <c r="T183" s="509">
        <v>49</v>
      </c>
      <c r="U183" s="406">
        <v>6</v>
      </c>
      <c r="V183" s="373"/>
      <c r="W183" s="391" t="s">
        <v>511</v>
      </c>
    </row>
    <row r="184" spans="1:23">
      <c r="A184" s="392" t="s">
        <v>655</v>
      </c>
      <c r="B184" s="393">
        <v>37.5</v>
      </c>
      <c r="C184" s="457">
        <v>27.5</v>
      </c>
      <c r="D184" s="457">
        <v>9.5</v>
      </c>
      <c r="E184" s="505">
        <v>6.1</v>
      </c>
      <c r="F184" s="506"/>
      <c r="G184" s="435"/>
      <c r="H184" s="436"/>
      <c r="I184" s="437"/>
      <c r="J184" s="438"/>
      <c r="K184" s="435"/>
      <c r="L184" s="436">
        <v>8</v>
      </c>
      <c r="M184" s="437">
        <v>3000</v>
      </c>
      <c r="N184" s="438">
        <v>7.8</v>
      </c>
      <c r="O184" s="507">
        <v>3600</v>
      </c>
      <c r="P184" s="508">
        <v>9000</v>
      </c>
      <c r="Q184" s="402">
        <v>6.5</v>
      </c>
      <c r="R184" s="401">
        <v>1.61</v>
      </c>
      <c r="S184" s="425">
        <v>10</v>
      </c>
      <c r="T184" s="509">
        <v>94</v>
      </c>
      <c r="U184" s="406">
        <v>6</v>
      </c>
      <c r="V184" s="373"/>
      <c r="W184" s="391" t="s">
        <v>511</v>
      </c>
    </row>
    <row r="185" spans="1:23">
      <c r="A185" s="392" t="s">
        <v>656</v>
      </c>
      <c r="B185" s="393">
        <v>42.1</v>
      </c>
      <c r="C185" s="457">
        <v>30</v>
      </c>
      <c r="D185" s="457">
        <v>10.5</v>
      </c>
      <c r="E185" s="505">
        <v>6.5</v>
      </c>
      <c r="F185" s="506"/>
      <c r="G185" s="435"/>
      <c r="H185" s="436"/>
      <c r="I185" s="437"/>
      <c r="J185" s="438"/>
      <c r="K185" s="435"/>
      <c r="L185" s="436">
        <v>8.5</v>
      </c>
      <c r="M185" s="437">
        <v>3000</v>
      </c>
      <c r="N185" s="438">
        <v>8</v>
      </c>
      <c r="O185" s="507">
        <v>3600</v>
      </c>
      <c r="P185" s="508">
        <v>9000</v>
      </c>
      <c r="Q185" s="402">
        <v>8.1</v>
      </c>
      <c r="R185" s="401">
        <v>2.25</v>
      </c>
      <c r="S185" s="425">
        <v>19.8</v>
      </c>
      <c r="T185" s="509">
        <v>97</v>
      </c>
      <c r="U185" s="406">
        <v>6</v>
      </c>
      <c r="V185" s="373"/>
      <c r="W185" s="391" t="s">
        <v>511</v>
      </c>
    </row>
    <row r="186" spans="1:23">
      <c r="A186" s="392" t="s">
        <v>657</v>
      </c>
      <c r="B186" s="393">
        <v>44.8</v>
      </c>
      <c r="C186" s="457">
        <v>71</v>
      </c>
      <c r="D186" s="457">
        <v>10.5</v>
      </c>
      <c r="E186" s="505">
        <v>14.1</v>
      </c>
      <c r="F186" s="506"/>
      <c r="G186" s="435"/>
      <c r="H186" s="436"/>
      <c r="I186" s="437"/>
      <c r="J186" s="438">
        <v>8.5</v>
      </c>
      <c r="K186" s="435">
        <v>3000</v>
      </c>
      <c r="L186" s="436"/>
      <c r="M186" s="437"/>
      <c r="N186" s="438"/>
      <c r="O186" s="507"/>
      <c r="P186" s="508">
        <v>9000</v>
      </c>
      <c r="Q186" s="402">
        <v>8.1</v>
      </c>
      <c r="R186" s="401">
        <v>0.52</v>
      </c>
      <c r="S186" s="425">
        <v>4.5</v>
      </c>
      <c r="T186" s="509">
        <v>45</v>
      </c>
      <c r="U186" s="406">
        <v>6</v>
      </c>
      <c r="V186" s="373"/>
      <c r="W186" s="391" t="s">
        <v>511</v>
      </c>
    </row>
    <row r="187" spans="1:23">
      <c r="A187" s="392" t="s">
        <v>658</v>
      </c>
      <c r="B187" s="393">
        <v>54</v>
      </c>
      <c r="C187" s="457">
        <v>40</v>
      </c>
      <c r="D187" s="457">
        <v>13.5</v>
      </c>
      <c r="E187" s="505">
        <v>8.6999999999999993</v>
      </c>
      <c r="F187" s="506"/>
      <c r="G187" s="435"/>
      <c r="H187" s="436"/>
      <c r="I187" s="437"/>
      <c r="J187" s="438"/>
      <c r="K187" s="435"/>
      <c r="L187" s="436">
        <v>10.7</v>
      </c>
      <c r="M187" s="437">
        <v>3000</v>
      </c>
      <c r="N187" s="438">
        <v>10</v>
      </c>
      <c r="O187" s="507">
        <v>3600</v>
      </c>
      <c r="P187" s="508">
        <v>9000</v>
      </c>
      <c r="Q187" s="402">
        <v>9.1</v>
      </c>
      <c r="R187" s="401">
        <v>1.71</v>
      </c>
      <c r="S187" s="425">
        <v>16.5</v>
      </c>
      <c r="T187" s="509">
        <v>94</v>
      </c>
      <c r="U187" s="406">
        <v>6</v>
      </c>
      <c r="V187" s="373"/>
      <c r="W187" s="391" t="s">
        <v>511</v>
      </c>
    </row>
    <row r="188" spans="1:23">
      <c r="A188" s="392" t="s">
        <v>659</v>
      </c>
      <c r="B188" s="393">
        <v>53.8</v>
      </c>
      <c r="C188" s="457">
        <v>85</v>
      </c>
      <c r="D188" s="457">
        <v>13.5</v>
      </c>
      <c r="E188" s="505">
        <v>18.600000000000001</v>
      </c>
      <c r="F188" s="506"/>
      <c r="G188" s="435"/>
      <c r="H188" s="436"/>
      <c r="I188" s="437"/>
      <c r="J188" s="438">
        <v>10.7</v>
      </c>
      <c r="K188" s="435">
        <v>3000</v>
      </c>
      <c r="L188" s="436"/>
      <c r="M188" s="437"/>
      <c r="N188" s="438"/>
      <c r="O188" s="507"/>
      <c r="P188" s="508">
        <v>9000</v>
      </c>
      <c r="Q188" s="402">
        <v>9.1</v>
      </c>
      <c r="R188" s="401">
        <v>0.38</v>
      </c>
      <c r="S188" s="425">
        <v>3.1</v>
      </c>
      <c r="T188" s="509">
        <v>44</v>
      </c>
      <c r="U188" s="406">
        <v>6</v>
      </c>
      <c r="V188" s="373"/>
      <c r="W188" s="391" t="s">
        <v>511</v>
      </c>
    </row>
    <row r="189" spans="1:23">
      <c r="A189" s="392" t="s">
        <v>660</v>
      </c>
      <c r="B189" s="393">
        <v>68.2</v>
      </c>
      <c r="C189" s="457">
        <v>48</v>
      </c>
      <c r="D189" s="457">
        <v>17</v>
      </c>
      <c r="E189" s="505">
        <v>10.4</v>
      </c>
      <c r="F189" s="506"/>
      <c r="G189" s="435"/>
      <c r="H189" s="436"/>
      <c r="I189" s="437"/>
      <c r="J189" s="438"/>
      <c r="K189" s="435"/>
      <c r="L189" s="436">
        <v>14</v>
      </c>
      <c r="M189" s="437">
        <v>3000</v>
      </c>
      <c r="N189" s="438">
        <v>13.4</v>
      </c>
      <c r="O189" s="507">
        <v>3600</v>
      </c>
      <c r="P189" s="508">
        <v>9000</v>
      </c>
      <c r="Q189" s="402">
        <v>11.3</v>
      </c>
      <c r="R189" s="401">
        <v>1.25</v>
      </c>
      <c r="S189" s="425">
        <v>12.6</v>
      </c>
      <c r="T189" s="509">
        <v>99</v>
      </c>
      <c r="U189" s="406">
        <v>6</v>
      </c>
      <c r="V189" s="373"/>
      <c r="W189" s="391" t="s">
        <v>511</v>
      </c>
    </row>
    <row r="190" spans="1:23">
      <c r="A190" s="392" t="s">
        <v>661</v>
      </c>
      <c r="B190" s="393">
        <v>67.5</v>
      </c>
      <c r="C190" s="457">
        <v>91</v>
      </c>
      <c r="D190" s="457">
        <v>17</v>
      </c>
      <c r="E190" s="505">
        <v>20</v>
      </c>
      <c r="F190" s="506"/>
      <c r="G190" s="435"/>
      <c r="H190" s="436"/>
      <c r="I190" s="437"/>
      <c r="J190" s="438">
        <v>14</v>
      </c>
      <c r="K190" s="435">
        <v>3000</v>
      </c>
      <c r="L190" s="436"/>
      <c r="M190" s="437"/>
      <c r="N190" s="438"/>
      <c r="O190" s="507"/>
      <c r="P190" s="508">
        <v>9000</v>
      </c>
      <c r="Q190" s="402">
        <v>11.3</v>
      </c>
      <c r="R190" s="401">
        <v>0.36</v>
      </c>
      <c r="S190" s="425">
        <v>3.3</v>
      </c>
      <c r="T190" s="509">
        <v>52</v>
      </c>
      <c r="U190" s="406">
        <v>6</v>
      </c>
      <c r="V190" s="373"/>
      <c r="W190" s="391" t="s">
        <v>511</v>
      </c>
    </row>
    <row r="191" spans="1:23">
      <c r="A191" s="392" t="s">
        <v>662</v>
      </c>
      <c r="B191" s="393">
        <v>88</v>
      </c>
      <c r="C191" s="457">
        <v>63</v>
      </c>
      <c r="D191" s="457">
        <v>22</v>
      </c>
      <c r="E191" s="505">
        <v>13.7</v>
      </c>
      <c r="F191" s="506"/>
      <c r="G191" s="435"/>
      <c r="H191" s="436"/>
      <c r="I191" s="437"/>
      <c r="J191" s="438"/>
      <c r="K191" s="435"/>
      <c r="L191" s="436">
        <v>17</v>
      </c>
      <c r="M191" s="437">
        <v>3000</v>
      </c>
      <c r="N191" s="438">
        <v>16</v>
      </c>
      <c r="O191" s="507">
        <v>3600</v>
      </c>
      <c r="P191" s="508">
        <v>9000</v>
      </c>
      <c r="Q191" s="402">
        <v>13.1</v>
      </c>
      <c r="R191" s="401">
        <v>0.94</v>
      </c>
      <c r="S191" s="425">
        <v>9</v>
      </c>
      <c r="T191" s="509">
        <v>97</v>
      </c>
      <c r="U191" s="406">
        <v>6</v>
      </c>
      <c r="V191" s="373"/>
      <c r="W191" s="391" t="s">
        <v>511</v>
      </c>
    </row>
    <row r="192" spans="1:23">
      <c r="A192" s="392" t="s">
        <v>663</v>
      </c>
      <c r="B192" s="393">
        <v>88.1</v>
      </c>
      <c r="C192" s="457">
        <v>69.5</v>
      </c>
      <c r="D192" s="457">
        <v>22</v>
      </c>
      <c r="E192" s="505">
        <v>15.1</v>
      </c>
      <c r="F192" s="506"/>
      <c r="G192" s="435"/>
      <c r="H192" s="436"/>
      <c r="I192" s="437"/>
      <c r="J192" s="438"/>
      <c r="K192" s="435"/>
      <c r="L192" s="436">
        <v>16</v>
      </c>
      <c r="M192" s="437">
        <v>3000</v>
      </c>
      <c r="N192" s="438">
        <v>14.8</v>
      </c>
      <c r="O192" s="507">
        <v>3600</v>
      </c>
      <c r="P192" s="508">
        <v>9000</v>
      </c>
      <c r="Q192" s="402">
        <v>25.1</v>
      </c>
      <c r="R192" s="401">
        <v>0.72</v>
      </c>
      <c r="S192" s="425">
        <v>8.5</v>
      </c>
      <c r="T192" s="509">
        <v>88</v>
      </c>
      <c r="U192" s="406">
        <v>6</v>
      </c>
      <c r="V192" s="373"/>
      <c r="W192" s="391" t="s">
        <v>511</v>
      </c>
    </row>
    <row r="193" spans="1:23">
      <c r="A193" s="392" t="s">
        <v>664</v>
      </c>
      <c r="B193" s="393">
        <v>116.6</v>
      </c>
      <c r="C193" s="457">
        <v>81</v>
      </c>
      <c r="D193" s="457">
        <v>29</v>
      </c>
      <c r="E193" s="505">
        <v>17.5</v>
      </c>
      <c r="F193" s="506"/>
      <c r="G193" s="435"/>
      <c r="H193" s="436"/>
      <c r="I193" s="437"/>
      <c r="J193" s="438"/>
      <c r="K193" s="435"/>
      <c r="L193" s="436">
        <v>20</v>
      </c>
      <c r="M193" s="437">
        <v>3000</v>
      </c>
      <c r="N193" s="438">
        <v>18.399999999999999</v>
      </c>
      <c r="O193" s="507">
        <v>3600</v>
      </c>
      <c r="P193" s="508">
        <v>9000</v>
      </c>
      <c r="Q193" s="402">
        <v>38.200000000000003</v>
      </c>
      <c r="R193" s="401">
        <v>0.55000000000000004</v>
      </c>
      <c r="S193" s="425">
        <v>6.5</v>
      </c>
      <c r="T193" s="509">
        <v>100</v>
      </c>
      <c r="U193" s="406">
        <v>6</v>
      </c>
      <c r="V193" s="373"/>
      <c r="W193" s="391" t="s">
        <v>511</v>
      </c>
    </row>
    <row r="194" spans="1:23">
      <c r="A194" s="392" t="s">
        <v>665</v>
      </c>
      <c r="B194" s="393">
        <v>101.9</v>
      </c>
      <c r="C194" s="457">
        <v>76</v>
      </c>
      <c r="D194" s="457">
        <v>26</v>
      </c>
      <c r="E194" s="505">
        <v>17</v>
      </c>
      <c r="F194" s="506"/>
      <c r="G194" s="435"/>
      <c r="H194" s="436"/>
      <c r="I194" s="437"/>
      <c r="J194" s="438"/>
      <c r="K194" s="435"/>
      <c r="L194" s="436">
        <v>20</v>
      </c>
      <c r="M194" s="437">
        <v>3000</v>
      </c>
      <c r="N194" s="438">
        <v>18.8</v>
      </c>
      <c r="O194" s="507">
        <v>3600</v>
      </c>
      <c r="P194" s="508">
        <v>9000</v>
      </c>
      <c r="Q194" s="402">
        <v>97.4</v>
      </c>
      <c r="R194" s="401">
        <v>0.46</v>
      </c>
      <c r="S194" s="425">
        <v>4.5</v>
      </c>
      <c r="T194" s="509">
        <v>92.5</v>
      </c>
      <c r="U194" s="406">
        <v>6</v>
      </c>
      <c r="V194" s="373"/>
      <c r="W194" s="391" t="s">
        <v>511</v>
      </c>
    </row>
    <row r="195" spans="1:23">
      <c r="A195" s="392" t="s">
        <v>666</v>
      </c>
      <c r="B195" s="393">
        <v>125.8</v>
      </c>
      <c r="C195" s="457">
        <v>89.8</v>
      </c>
      <c r="D195" s="457">
        <v>32</v>
      </c>
      <c r="E195" s="505">
        <v>20</v>
      </c>
      <c r="F195" s="506"/>
      <c r="G195" s="435"/>
      <c r="H195" s="436"/>
      <c r="I195" s="437"/>
      <c r="J195" s="438"/>
      <c r="K195" s="435"/>
      <c r="L195" s="436">
        <v>23</v>
      </c>
      <c r="M195" s="437">
        <v>3000</v>
      </c>
      <c r="N195" s="438">
        <v>21</v>
      </c>
      <c r="O195" s="507">
        <v>3600</v>
      </c>
      <c r="P195" s="508">
        <v>9000</v>
      </c>
      <c r="Q195" s="402">
        <v>114.1</v>
      </c>
      <c r="R195" s="401">
        <v>0.36</v>
      </c>
      <c r="S195" s="425">
        <v>3.6</v>
      </c>
      <c r="T195" s="509">
        <v>97</v>
      </c>
      <c r="U195" s="406">
        <v>6</v>
      </c>
      <c r="V195" s="373"/>
      <c r="W195" s="391" t="s">
        <v>511</v>
      </c>
    </row>
    <row r="196" spans="1:23">
      <c r="A196" s="392" t="s">
        <v>667</v>
      </c>
      <c r="B196" s="393">
        <v>144.5</v>
      </c>
      <c r="C196" s="457">
        <v>94</v>
      </c>
      <c r="D196" s="457">
        <v>40</v>
      </c>
      <c r="E196" s="505">
        <v>23.4</v>
      </c>
      <c r="F196" s="506"/>
      <c r="G196" s="435"/>
      <c r="H196" s="436"/>
      <c r="I196" s="437"/>
      <c r="J196" s="438"/>
      <c r="K196" s="435"/>
      <c r="L196" s="436">
        <v>26</v>
      </c>
      <c r="M196" s="437">
        <v>3000</v>
      </c>
      <c r="N196" s="438">
        <v>23.2</v>
      </c>
      <c r="O196" s="507">
        <v>3600</v>
      </c>
      <c r="P196" s="508">
        <v>9000</v>
      </c>
      <c r="Q196" s="402">
        <v>139.4</v>
      </c>
      <c r="R196" s="401">
        <v>0.3</v>
      </c>
      <c r="S196" s="425">
        <v>2.9</v>
      </c>
      <c r="T196" s="509">
        <v>103.5</v>
      </c>
      <c r="U196" s="406">
        <v>6</v>
      </c>
      <c r="V196" s="373"/>
      <c r="W196" s="391" t="s">
        <v>511</v>
      </c>
    </row>
    <row r="197" spans="1:23">
      <c r="A197" s="392" t="s">
        <v>668</v>
      </c>
      <c r="B197" s="393">
        <v>128.80000000000001</v>
      </c>
      <c r="C197" s="457">
        <v>80</v>
      </c>
      <c r="D197" s="457">
        <v>40</v>
      </c>
      <c r="E197" s="505">
        <v>23</v>
      </c>
      <c r="F197" s="506"/>
      <c r="G197" s="435"/>
      <c r="H197" s="436"/>
      <c r="I197" s="437"/>
      <c r="J197" s="438"/>
      <c r="K197" s="435"/>
      <c r="L197" s="436">
        <v>32</v>
      </c>
      <c r="M197" s="437">
        <v>3000</v>
      </c>
      <c r="N197" s="438">
        <v>30.4</v>
      </c>
      <c r="O197" s="507">
        <v>3600</v>
      </c>
      <c r="P197" s="508">
        <v>9000</v>
      </c>
      <c r="Q197" s="402">
        <v>71.099999999999994</v>
      </c>
      <c r="R197" s="401">
        <v>0.35</v>
      </c>
      <c r="S197" s="425">
        <v>7.5</v>
      </c>
      <c r="T197" s="509">
        <v>105</v>
      </c>
      <c r="U197" s="406">
        <v>6</v>
      </c>
      <c r="V197" s="373"/>
      <c r="W197" s="391" t="s">
        <v>511</v>
      </c>
    </row>
    <row r="198" spans="1:23">
      <c r="A198" s="392" t="s">
        <v>669</v>
      </c>
      <c r="B198" s="393">
        <v>234.3</v>
      </c>
      <c r="C198" s="457">
        <v>140</v>
      </c>
      <c r="D198" s="457">
        <v>68</v>
      </c>
      <c r="E198" s="505">
        <v>37</v>
      </c>
      <c r="F198" s="506"/>
      <c r="G198" s="435"/>
      <c r="H198" s="436"/>
      <c r="I198" s="437"/>
      <c r="J198" s="438"/>
      <c r="K198" s="435"/>
      <c r="L198" s="436">
        <v>50</v>
      </c>
      <c r="M198" s="437">
        <v>3000</v>
      </c>
      <c r="N198" s="438">
        <v>45.6</v>
      </c>
      <c r="O198" s="507">
        <v>3600</v>
      </c>
      <c r="P198" s="508">
        <v>9000</v>
      </c>
      <c r="Q198" s="402">
        <v>113.6</v>
      </c>
      <c r="R198" s="401">
        <v>0.12</v>
      </c>
      <c r="S198" s="425">
        <v>3.4</v>
      </c>
      <c r="T198" s="509">
        <v>112</v>
      </c>
      <c r="U198" s="406">
        <v>6</v>
      </c>
      <c r="V198" s="373"/>
      <c r="W198" s="391" t="s">
        <v>511</v>
      </c>
    </row>
    <row r="199" spans="1:23">
      <c r="A199" s="392" t="s">
        <v>670</v>
      </c>
      <c r="B199" s="393">
        <v>299</v>
      </c>
      <c r="C199" s="457">
        <v>118</v>
      </c>
      <c r="D199" s="457">
        <v>93</v>
      </c>
      <c r="E199" s="505">
        <v>34</v>
      </c>
      <c r="F199" s="506"/>
      <c r="G199" s="435"/>
      <c r="H199" s="436"/>
      <c r="I199" s="437"/>
      <c r="J199" s="438"/>
      <c r="K199" s="435"/>
      <c r="L199" s="436">
        <v>70</v>
      </c>
      <c r="M199" s="437">
        <v>2000</v>
      </c>
      <c r="N199" s="438"/>
      <c r="O199" s="507"/>
      <c r="P199" s="508">
        <v>6000</v>
      </c>
      <c r="Q199" s="402">
        <v>153</v>
      </c>
      <c r="R199" s="401">
        <v>0.16</v>
      </c>
      <c r="S199" s="425">
        <v>4.4000000000000004</v>
      </c>
      <c r="T199" s="509">
        <v>164</v>
      </c>
      <c r="U199" s="406">
        <v>6</v>
      </c>
      <c r="V199" s="373"/>
      <c r="W199" s="391" t="s">
        <v>511</v>
      </c>
    </row>
    <row r="200" spans="1:23" ht="13.5" thickBot="1">
      <c r="A200" s="408" t="s">
        <v>671</v>
      </c>
      <c r="B200" s="409">
        <v>363.2</v>
      </c>
      <c r="C200" s="510">
        <v>146</v>
      </c>
      <c r="D200" s="510">
        <v>115</v>
      </c>
      <c r="E200" s="511">
        <v>43</v>
      </c>
      <c r="F200" s="517"/>
      <c r="G200" s="518"/>
      <c r="H200" s="519"/>
      <c r="I200" s="520"/>
      <c r="J200" s="521"/>
      <c r="K200" s="518"/>
      <c r="L200" s="519">
        <v>85</v>
      </c>
      <c r="M200" s="520">
        <v>2000</v>
      </c>
      <c r="N200" s="521"/>
      <c r="O200" s="522"/>
      <c r="P200" s="523">
        <v>6000</v>
      </c>
      <c r="Q200" s="419">
        <v>190</v>
      </c>
      <c r="R200" s="418">
        <v>0.11</v>
      </c>
      <c r="S200" s="524">
        <v>3.9</v>
      </c>
      <c r="T200" s="525">
        <v>164</v>
      </c>
      <c r="U200" s="423">
        <v>6</v>
      </c>
      <c r="V200" s="373"/>
      <c r="W200" s="391" t="s">
        <v>511</v>
      </c>
    </row>
    <row r="201" spans="1:23">
      <c r="A201" s="526" t="s">
        <v>672</v>
      </c>
      <c r="B201" s="527">
        <v>4</v>
      </c>
      <c r="C201" s="528">
        <v>11</v>
      </c>
      <c r="D201" s="528">
        <v>1</v>
      </c>
      <c r="E201" s="529">
        <v>1.82</v>
      </c>
      <c r="F201" s="530"/>
      <c r="G201" s="531"/>
      <c r="H201" s="532"/>
      <c r="I201" s="533"/>
      <c r="J201" s="534">
        <v>0.9</v>
      </c>
      <c r="K201" s="531">
        <v>3000</v>
      </c>
      <c r="L201" s="532"/>
      <c r="M201" s="533"/>
      <c r="N201" s="534"/>
      <c r="O201" s="535"/>
      <c r="P201" s="536">
        <v>12000</v>
      </c>
      <c r="Q201" s="537">
        <v>0.79</v>
      </c>
      <c r="R201" s="538">
        <v>13</v>
      </c>
      <c r="S201" s="539">
        <v>24</v>
      </c>
      <c r="T201" s="540">
        <v>33.5</v>
      </c>
      <c r="U201" s="541">
        <v>6</v>
      </c>
      <c r="V201" s="373"/>
      <c r="W201" s="391" t="s">
        <v>511</v>
      </c>
    </row>
    <row r="202" spans="1:23">
      <c r="A202" s="476" t="s">
        <v>673</v>
      </c>
      <c r="B202" s="542">
        <v>4</v>
      </c>
      <c r="C202" s="543">
        <v>5</v>
      </c>
      <c r="D202" s="543">
        <v>1</v>
      </c>
      <c r="E202" s="544">
        <v>1.1000000000000001</v>
      </c>
      <c r="F202" s="512"/>
      <c r="G202" s="480"/>
      <c r="H202" s="481"/>
      <c r="I202" s="482"/>
      <c r="J202" s="483"/>
      <c r="K202" s="480"/>
      <c r="L202" s="481">
        <v>0.9</v>
      </c>
      <c r="M202" s="482">
        <v>3000</v>
      </c>
      <c r="N202" s="483"/>
      <c r="O202" s="513"/>
      <c r="P202" s="514">
        <v>12000</v>
      </c>
      <c r="Q202" s="486">
        <v>0.79</v>
      </c>
      <c r="R202" s="485">
        <v>38</v>
      </c>
      <c r="S202" s="515">
        <v>70</v>
      </c>
      <c r="T202" s="516">
        <v>56</v>
      </c>
      <c r="U202" s="490">
        <v>6</v>
      </c>
      <c r="V202" s="373"/>
      <c r="W202" s="391" t="s">
        <v>511</v>
      </c>
    </row>
    <row r="203" spans="1:23">
      <c r="A203" s="476" t="s">
        <v>674</v>
      </c>
      <c r="B203" s="542">
        <v>6.3</v>
      </c>
      <c r="C203" s="543">
        <v>12</v>
      </c>
      <c r="D203" s="543">
        <v>2.1</v>
      </c>
      <c r="E203" s="544">
        <v>2.7</v>
      </c>
      <c r="F203" s="512"/>
      <c r="G203" s="480"/>
      <c r="H203" s="481"/>
      <c r="I203" s="482"/>
      <c r="J203" s="483">
        <v>1.9</v>
      </c>
      <c r="K203" s="480">
        <v>3000</v>
      </c>
      <c r="L203" s="481"/>
      <c r="M203" s="482"/>
      <c r="N203" s="483"/>
      <c r="O203" s="513"/>
      <c r="P203" s="514">
        <v>9000</v>
      </c>
      <c r="Q203" s="486">
        <v>4.0999999999999996</v>
      </c>
      <c r="R203" s="485">
        <v>6.5</v>
      </c>
      <c r="S203" s="515">
        <v>21.5</v>
      </c>
      <c r="T203" s="516">
        <v>47.5</v>
      </c>
      <c r="U203" s="490">
        <v>6</v>
      </c>
      <c r="V203" s="373"/>
      <c r="W203" s="391" t="s">
        <v>511</v>
      </c>
    </row>
    <row r="204" spans="1:23">
      <c r="A204" s="476" t="s">
        <v>675</v>
      </c>
      <c r="B204" s="542">
        <v>6.3</v>
      </c>
      <c r="C204" s="543">
        <v>7</v>
      </c>
      <c r="D204" s="543">
        <v>2.1</v>
      </c>
      <c r="E204" s="544">
        <v>1.5</v>
      </c>
      <c r="F204" s="512"/>
      <c r="G204" s="480"/>
      <c r="H204" s="481"/>
      <c r="I204" s="482"/>
      <c r="J204" s="483"/>
      <c r="K204" s="480"/>
      <c r="L204" s="481">
        <v>1.9</v>
      </c>
      <c r="M204" s="482">
        <v>3000</v>
      </c>
      <c r="N204" s="483"/>
      <c r="O204" s="513"/>
      <c r="P204" s="514">
        <v>9000</v>
      </c>
      <c r="Q204" s="486">
        <v>4.0999999999999996</v>
      </c>
      <c r="R204" s="485">
        <v>21</v>
      </c>
      <c r="S204" s="515">
        <v>66</v>
      </c>
      <c r="T204" s="516">
        <v>82.5</v>
      </c>
      <c r="U204" s="490">
        <v>6</v>
      </c>
      <c r="V204" s="373"/>
      <c r="W204" s="391" t="s">
        <v>511</v>
      </c>
    </row>
    <row r="205" spans="1:23">
      <c r="A205" s="476" t="s">
        <v>676</v>
      </c>
      <c r="B205" s="542">
        <v>12.9</v>
      </c>
      <c r="C205" s="543">
        <v>22.5</v>
      </c>
      <c r="D205" s="543">
        <v>4.3</v>
      </c>
      <c r="E205" s="544">
        <v>5</v>
      </c>
      <c r="F205" s="512"/>
      <c r="G205" s="480"/>
      <c r="H205" s="481"/>
      <c r="I205" s="482"/>
      <c r="J205" s="483">
        <v>3.9</v>
      </c>
      <c r="K205" s="480">
        <v>3000</v>
      </c>
      <c r="L205" s="481"/>
      <c r="M205" s="482"/>
      <c r="N205" s="483"/>
      <c r="O205" s="513"/>
      <c r="P205" s="514">
        <v>9000</v>
      </c>
      <c r="Q205" s="486">
        <v>5.8</v>
      </c>
      <c r="R205" s="485">
        <v>2.16</v>
      </c>
      <c r="S205" s="515">
        <v>10</v>
      </c>
      <c r="T205" s="516">
        <v>52.5</v>
      </c>
      <c r="U205" s="490">
        <v>6</v>
      </c>
      <c r="V205" s="373"/>
      <c r="W205" s="391" t="s">
        <v>511</v>
      </c>
    </row>
    <row r="206" spans="1:23">
      <c r="A206" s="476" t="s">
        <v>677</v>
      </c>
      <c r="B206" s="542">
        <v>12.9</v>
      </c>
      <c r="C206" s="543">
        <v>13</v>
      </c>
      <c r="D206" s="543">
        <v>4.3</v>
      </c>
      <c r="E206" s="544">
        <v>2.9</v>
      </c>
      <c r="F206" s="512"/>
      <c r="G206" s="480"/>
      <c r="H206" s="481"/>
      <c r="I206" s="482"/>
      <c r="J206" s="483"/>
      <c r="K206" s="480"/>
      <c r="L206" s="481">
        <v>3.9</v>
      </c>
      <c r="M206" s="482">
        <v>3000</v>
      </c>
      <c r="N206" s="483"/>
      <c r="O206" s="513"/>
      <c r="P206" s="514">
        <v>9000</v>
      </c>
      <c r="Q206" s="486">
        <v>5.8</v>
      </c>
      <c r="R206" s="485">
        <v>7.1</v>
      </c>
      <c r="S206" s="515">
        <v>32</v>
      </c>
      <c r="T206" s="516">
        <v>90</v>
      </c>
      <c r="U206" s="490">
        <v>6</v>
      </c>
      <c r="V206" s="373"/>
      <c r="W206" s="391" t="s">
        <v>511</v>
      </c>
    </row>
    <row r="207" spans="1:23">
      <c r="A207" s="476" t="s">
        <v>678</v>
      </c>
      <c r="B207" s="542">
        <v>10.5</v>
      </c>
      <c r="C207" s="543">
        <v>21.5</v>
      </c>
      <c r="D207" s="543">
        <v>3.5</v>
      </c>
      <c r="E207" s="544">
        <v>5.2</v>
      </c>
      <c r="F207" s="512"/>
      <c r="G207" s="480"/>
      <c r="H207" s="481"/>
      <c r="I207" s="482"/>
      <c r="J207" s="483">
        <v>3</v>
      </c>
      <c r="K207" s="480">
        <v>3000</v>
      </c>
      <c r="L207" s="481"/>
      <c r="M207" s="482"/>
      <c r="N207" s="483"/>
      <c r="O207" s="513"/>
      <c r="P207" s="514">
        <v>6000</v>
      </c>
      <c r="Q207" s="486">
        <v>8</v>
      </c>
      <c r="R207" s="485">
        <v>2.95</v>
      </c>
      <c r="S207" s="515">
        <v>17.5</v>
      </c>
      <c r="T207" s="516">
        <v>41</v>
      </c>
      <c r="U207" s="490">
        <v>6</v>
      </c>
      <c r="V207" s="373"/>
      <c r="W207" s="391" t="s">
        <v>511</v>
      </c>
    </row>
    <row r="208" spans="1:23">
      <c r="A208" s="476" t="s">
        <v>679</v>
      </c>
      <c r="B208" s="542">
        <v>10.5</v>
      </c>
      <c r="C208" s="543">
        <v>12.4</v>
      </c>
      <c r="D208" s="543">
        <v>3.5</v>
      </c>
      <c r="E208" s="544">
        <v>3.1</v>
      </c>
      <c r="F208" s="512"/>
      <c r="G208" s="480"/>
      <c r="H208" s="481"/>
      <c r="I208" s="482"/>
      <c r="J208" s="483"/>
      <c r="K208" s="480"/>
      <c r="L208" s="481">
        <v>3</v>
      </c>
      <c r="M208" s="482">
        <v>3000</v>
      </c>
      <c r="N208" s="483"/>
      <c r="O208" s="513"/>
      <c r="P208" s="514">
        <v>6000</v>
      </c>
      <c r="Q208" s="486">
        <v>8</v>
      </c>
      <c r="R208" s="485">
        <v>8.8000000000000007</v>
      </c>
      <c r="S208" s="515">
        <v>52</v>
      </c>
      <c r="T208" s="516">
        <v>70</v>
      </c>
      <c r="U208" s="490">
        <v>6</v>
      </c>
      <c r="V208" s="373"/>
      <c r="W208" s="391" t="s">
        <v>511</v>
      </c>
    </row>
    <row r="209" spans="1:23">
      <c r="A209" s="476" t="s">
        <v>680</v>
      </c>
      <c r="B209" s="542">
        <v>21</v>
      </c>
      <c r="C209" s="543">
        <v>45.3</v>
      </c>
      <c r="D209" s="543">
        <v>7</v>
      </c>
      <c r="E209" s="544">
        <v>9.8000000000000007</v>
      </c>
      <c r="F209" s="512"/>
      <c r="G209" s="480"/>
      <c r="H209" s="481"/>
      <c r="I209" s="482"/>
      <c r="J209" s="483">
        <v>6</v>
      </c>
      <c r="K209" s="480">
        <v>3000</v>
      </c>
      <c r="L209" s="481"/>
      <c r="M209" s="482"/>
      <c r="N209" s="483"/>
      <c r="O209" s="513"/>
      <c r="P209" s="514">
        <v>6000</v>
      </c>
      <c r="Q209" s="486">
        <v>11.4</v>
      </c>
      <c r="R209" s="485">
        <v>1</v>
      </c>
      <c r="S209" s="515">
        <v>7.3</v>
      </c>
      <c r="T209" s="516">
        <v>43</v>
      </c>
      <c r="U209" s="490">
        <v>6</v>
      </c>
      <c r="V209" s="373"/>
      <c r="W209" s="391" t="s">
        <v>511</v>
      </c>
    </row>
    <row r="210" spans="1:23">
      <c r="A210" s="476" t="s">
        <v>681</v>
      </c>
      <c r="B210" s="542">
        <v>21</v>
      </c>
      <c r="C210" s="543">
        <v>25.3</v>
      </c>
      <c r="D210" s="543">
        <v>7</v>
      </c>
      <c r="E210" s="544">
        <v>5.5</v>
      </c>
      <c r="F210" s="512"/>
      <c r="G210" s="480"/>
      <c r="H210" s="481"/>
      <c r="I210" s="482"/>
      <c r="J210" s="483"/>
      <c r="K210" s="480"/>
      <c r="L210" s="481">
        <v>6</v>
      </c>
      <c r="M210" s="482">
        <v>3000</v>
      </c>
      <c r="N210" s="483"/>
      <c r="O210" s="513"/>
      <c r="P210" s="514">
        <v>6000</v>
      </c>
      <c r="Q210" s="486">
        <v>11.4</v>
      </c>
      <c r="R210" s="485">
        <v>3.3</v>
      </c>
      <c r="S210" s="515">
        <v>23.3</v>
      </c>
      <c r="T210" s="516">
        <v>77</v>
      </c>
      <c r="U210" s="490">
        <v>6</v>
      </c>
      <c r="V210" s="373"/>
      <c r="W210" s="391" t="s">
        <v>511</v>
      </c>
    </row>
    <row r="211" spans="1:23">
      <c r="A211" s="476" t="s">
        <v>682</v>
      </c>
      <c r="B211" s="542">
        <v>19.5</v>
      </c>
      <c r="C211" s="543">
        <v>39</v>
      </c>
      <c r="D211" s="543">
        <v>6.5</v>
      </c>
      <c r="E211" s="544">
        <v>8.5</v>
      </c>
      <c r="F211" s="512"/>
      <c r="G211" s="480"/>
      <c r="H211" s="481"/>
      <c r="I211" s="482"/>
      <c r="J211" s="483">
        <v>5</v>
      </c>
      <c r="K211" s="480">
        <v>3000</v>
      </c>
      <c r="L211" s="481"/>
      <c r="M211" s="482"/>
      <c r="N211" s="483"/>
      <c r="O211" s="513"/>
      <c r="P211" s="514">
        <v>6000</v>
      </c>
      <c r="Q211" s="486">
        <v>32.4</v>
      </c>
      <c r="R211" s="485">
        <v>1.31</v>
      </c>
      <c r="S211" s="515">
        <v>4.2</v>
      </c>
      <c r="T211" s="516">
        <v>46</v>
      </c>
      <c r="U211" s="490">
        <v>6</v>
      </c>
      <c r="V211" s="373"/>
      <c r="W211" s="391" t="s">
        <v>511</v>
      </c>
    </row>
    <row r="212" spans="1:23">
      <c r="A212" s="476" t="s">
        <v>683</v>
      </c>
      <c r="B212" s="542">
        <v>19.5</v>
      </c>
      <c r="C212" s="543">
        <v>21</v>
      </c>
      <c r="D212" s="543">
        <v>6.5</v>
      </c>
      <c r="E212" s="544">
        <v>4.5</v>
      </c>
      <c r="F212" s="512"/>
      <c r="G212" s="480"/>
      <c r="H212" s="481"/>
      <c r="I212" s="482"/>
      <c r="J212" s="483"/>
      <c r="K212" s="480"/>
      <c r="L212" s="481">
        <v>5</v>
      </c>
      <c r="M212" s="482">
        <v>3000</v>
      </c>
      <c r="N212" s="483"/>
      <c r="O212" s="513"/>
      <c r="P212" s="514">
        <v>6000</v>
      </c>
      <c r="Q212" s="486">
        <v>32.4</v>
      </c>
      <c r="R212" s="485">
        <v>4.2</v>
      </c>
      <c r="S212" s="515">
        <v>22</v>
      </c>
      <c r="T212" s="516">
        <v>86.5</v>
      </c>
      <c r="U212" s="490">
        <v>6</v>
      </c>
      <c r="V212" s="373"/>
      <c r="W212" s="391" t="s">
        <v>511</v>
      </c>
    </row>
    <row r="213" spans="1:23">
      <c r="A213" s="476" t="s">
        <v>684</v>
      </c>
      <c r="B213" s="542">
        <v>36</v>
      </c>
      <c r="C213" s="543">
        <v>59</v>
      </c>
      <c r="D213" s="543">
        <v>12</v>
      </c>
      <c r="E213" s="544">
        <v>12.7</v>
      </c>
      <c r="F213" s="512"/>
      <c r="G213" s="480"/>
      <c r="H213" s="481"/>
      <c r="I213" s="482"/>
      <c r="J213" s="483">
        <v>10</v>
      </c>
      <c r="K213" s="480">
        <v>3000</v>
      </c>
      <c r="L213" s="481"/>
      <c r="M213" s="482"/>
      <c r="N213" s="483"/>
      <c r="O213" s="513"/>
      <c r="P213" s="514">
        <v>6000</v>
      </c>
      <c r="Q213" s="486">
        <v>53.1</v>
      </c>
      <c r="R213" s="485">
        <v>0.54</v>
      </c>
      <c r="S213" s="515">
        <v>3.9</v>
      </c>
      <c r="T213" s="516">
        <v>57</v>
      </c>
      <c r="U213" s="490">
        <v>6</v>
      </c>
      <c r="V213" s="373"/>
      <c r="W213" s="391" t="s">
        <v>511</v>
      </c>
    </row>
    <row r="214" spans="1:23">
      <c r="A214" s="476" t="s">
        <v>685</v>
      </c>
      <c r="B214" s="542">
        <v>36</v>
      </c>
      <c r="C214" s="543">
        <v>34.5</v>
      </c>
      <c r="D214" s="543">
        <v>12</v>
      </c>
      <c r="E214" s="544">
        <v>7.4</v>
      </c>
      <c r="F214" s="512"/>
      <c r="G214" s="480"/>
      <c r="H214" s="481"/>
      <c r="I214" s="482"/>
      <c r="J214" s="483"/>
      <c r="K214" s="480"/>
      <c r="L214" s="481">
        <v>10</v>
      </c>
      <c r="M214" s="482">
        <v>3000</v>
      </c>
      <c r="N214" s="483"/>
      <c r="O214" s="513"/>
      <c r="P214" s="514">
        <v>6000</v>
      </c>
      <c r="Q214" s="486">
        <v>53.1</v>
      </c>
      <c r="R214" s="485">
        <v>1.65</v>
      </c>
      <c r="S214" s="515">
        <v>11.5</v>
      </c>
      <c r="T214" s="516">
        <v>97.5</v>
      </c>
      <c r="U214" s="490">
        <v>6</v>
      </c>
      <c r="V214" s="373"/>
      <c r="W214" s="391" t="s">
        <v>511</v>
      </c>
    </row>
    <row r="215" spans="1:23">
      <c r="A215" s="476" t="s">
        <v>686</v>
      </c>
      <c r="B215" s="542">
        <v>58.5</v>
      </c>
      <c r="C215" s="543">
        <v>100</v>
      </c>
      <c r="D215" s="543">
        <v>19.5</v>
      </c>
      <c r="E215" s="544">
        <v>21.8</v>
      </c>
      <c r="F215" s="512"/>
      <c r="G215" s="480"/>
      <c r="H215" s="481"/>
      <c r="I215" s="482"/>
      <c r="J215" s="483">
        <v>15</v>
      </c>
      <c r="K215" s="480">
        <v>3000</v>
      </c>
      <c r="L215" s="481"/>
      <c r="M215" s="482"/>
      <c r="N215" s="483"/>
      <c r="O215" s="513"/>
      <c r="P215" s="514">
        <v>6000</v>
      </c>
      <c r="Q215" s="486">
        <v>69.2</v>
      </c>
      <c r="R215" s="485">
        <v>0.25</v>
      </c>
      <c r="S215" s="515">
        <v>1.4</v>
      </c>
      <c r="T215" s="516">
        <v>54</v>
      </c>
      <c r="U215" s="490">
        <v>6</v>
      </c>
      <c r="V215" s="373"/>
      <c r="W215" s="391" t="s">
        <v>511</v>
      </c>
    </row>
    <row r="216" spans="1:23" ht="13.5" thickBot="1">
      <c r="A216" s="408" t="s">
        <v>687</v>
      </c>
      <c r="B216" s="545">
        <v>58.5</v>
      </c>
      <c r="C216" s="510">
        <v>55</v>
      </c>
      <c r="D216" s="510">
        <v>19.5</v>
      </c>
      <c r="E216" s="511">
        <v>11.8</v>
      </c>
      <c r="F216" s="517"/>
      <c r="G216" s="518"/>
      <c r="H216" s="519"/>
      <c r="I216" s="520"/>
      <c r="J216" s="521"/>
      <c r="K216" s="518"/>
      <c r="L216" s="519">
        <v>15</v>
      </c>
      <c r="M216" s="520">
        <v>3000</v>
      </c>
      <c r="N216" s="521"/>
      <c r="O216" s="522"/>
      <c r="P216" s="523">
        <v>6000</v>
      </c>
      <c r="Q216" s="419">
        <v>69.2</v>
      </c>
      <c r="R216" s="418">
        <v>0.9</v>
      </c>
      <c r="S216" s="524">
        <v>7</v>
      </c>
      <c r="T216" s="525">
        <v>100</v>
      </c>
      <c r="U216" s="423">
        <v>6</v>
      </c>
      <c r="V216" s="373"/>
      <c r="W216" s="391" t="s">
        <v>511</v>
      </c>
    </row>
    <row r="217" spans="1:23">
      <c r="A217" s="526" t="s">
        <v>688</v>
      </c>
      <c r="B217" s="527">
        <v>0.8</v>
      </c>
      <c r="C217" s="528">
        <v>2.7</v>
      </c>
      <c r="D217" s="528">
        <v>0.2</v>
      </c>
      <c r="E217" s="529">
        <v>0.57999999999999996</v>
      </c>
      <c r="F217" s="530"/>
      <c r="G217" s="531"/>
      <c r="H217" s="532"/>
      <c r="I217" s="533"/>
      <c r="J217" s="534">
        <v>0.19</v>
      </c>
      <c r="K217" s="531">
        <v>4500</v>
      </c>
      <c r="L217" s="532"/>
      <c r="M217" s="533"/>
      <c r="N217" s="534"/>
      <c r="O217" s="535"/>
      <c r="P217" s="536">
        <v>12000</v>
      </c>
      <c r="Q217" s="537">
        <v>0.06</v>
      </c>
      <c r="R217" s="538">
        <v>55</v>
      </c>
      <c r="S217" s="539">
        <v>29.5</v>
      </c>
      <c r="T217" s="540">
        <v>21</v>
      </c>
      <c r="U217" s="541">
        <v>6</v>
      </c>
      <c r="V217" s="373"/>
      <c r="W217" s="391" t="s">
        <v>511</v>
      </c>
    </row>
    <row r="218" spans="1:23">
      <c r="A218" s="476" t="s">
        <v>689</v>
      </c>
      <c r="B218" s="542">
        <v>0.8</v>
      </c>
      <c r="C218" s="543">
        <v>2</v>
      </c>
      <c r="D218" s="543">
        <v>0.2</v>
      </c>
      <c r="E218" s="544">
        <v>0.46</v>
      </c>
      <c r="F218" s="512"/>
      <c r="G218" s="480"/>
      <c r="H218" s="481"/>
      <c r="I218" s="482"/>
      <c r="J218" s="483"/>
      <c r="K218" s="480"/>
      <c r="L218" s="481">
        <v>0.19</v>
      </c>
      <c r="M218" s="482">
        <v>4500</v>
      </c>
      <c r="N218" s="483"/>
      <c r="O218" s="513"/>
      <c r="P218" s="514">
        <v>12000</v>
      </c>
      <c r="Q218" s="486">
        <v>0.06</v>
      </c>
      <c r="R218" s="485">
        <v>105</v>
      </c>
      <c r="S218" s="515">
        <v>52</v>
      </c>
      <c r="T218" s="516">
        <v>26.5</v>
      </c>
      <c r="U218" s="490">
        <v>6</v>
      </c>
      <c r="V218" s="373"/>
      <c r="W218" s="391" t="s">
        <v>511</v>
      </c>
    </row>
    <row r="219" spans="1:23">
      <c r="A219" s="476" t="s">
        <v>690</v>
      </c>
      <c r="B219" s="542">
        <v>1.6</v>
      </c>
      <c r="C219" s="543">
        <v>4.3</v>
      </c>
      <c r="D219" s="543">
        <v>0.4</v>
      </c>
      <c r="E219" s="544">
        <v>0.93</v>
      </c>
      <c r="F219" s="512"/>
      <c r="G219" s="480"/>
      <c r="H219" s="481"/>
      <c r="I219" s="482"/>
      <c r="J219" s="483">
        <v>0.36</v>
      </c>
      <c r="K219" s="480">
        <v>4500</v>
      </c>
      <c r="L219" s="481"/>
      <c r="M219" s="482"/>
      <c r="N219" s="483"/>
      <c r="O219" s="513"/>
      <c r="P219" s="514">
        <v>12000</v>
      </c>
      <c r="Q219" s="486">
        <v>0.08</v>
      </c>
      <c r="R219" s="485">
        <v>26.5</v>
      </c>
      <c r="S219" s="515">
        <v>20</v>
      </c>
      <c r="T219" s="516">
        <v>26</v>
      </c>
      <c r="U219" s="490">
        <v>6</v>
      </c>
      <c r="V219" s="373"/>
      <c r="W219" s="391" t="s">
        <v>511</v>
      </c>
    </row>
    <row r="220" spans="1:23">
      <c r="A220" s="476" t="s">
        <v>691</v>
      </c>
      <c r="B220" s="542">
        <v>1.6</v>
      </c>
      <c r="C220" s="543">
        <v>2.4</v>
      </c>
      <c r="D220" s="543">
        <v>0.4</v>
      </c>
      <c r="E220" s="544">
        <v>0.55000000000000004</v>
      </c>
      <c r="F220" s="512"/>
      <c r="G220" s="480"/>
      <c r="H220" s="481"/>
      <c r="I220" s="482"/>
      <c r="J220" s="483"/>
      <c r="K220" s="480"/>
      <c r="L220" s="481">
        <v>0.36</v>
      </c>
      <c r="M220" s="482">
        <v>4500</v>
      </c>
      <c r="N220" s="483"/>
      <c r="O220" s="513"/>
      <c r="P220" s="514">
        <v>12000</v>
      </c>
      <c r="Q220" s="486">
        <v>0.08</v>
      </c>
      <c r="R220" s="485">
        <v>78.7</v>
      </c>
      <c r="S220" s="515">
        <v>59.5</v>
      </c>
      <c r="T220" s="516">
        <v>44</v>
      </c>
      <c r="U220" s="490">
        <v>6</v>
      </c>
      <c r="V220" s="373"/>
      <c r="W220" s="391" t="s">
        <v>511</v>
      </c>
    </row>
    <row r="221" spans="1:23">
      <c r="A221" s="476" t="s">
        <v>692</v>
      </c>
      <c r="B221" s="542">
        <v>2.4</v>
      </c>
      <c r="C221" s="543">
        <v>5.3</v>
      </c>
      <c r="D221" s="543">
        <v>0.6</v>
      </c>
      <c r="E221" s="544">
        <v>1.17</v>
      </c>
      <c r="F221" s="512"/>
      <c r="G221" s="480"/>
      <c r="H221" s="481"/>
      <c r="I221" s="482"/>
      <c r="J221" s="483">
        <v>0.55000000000000004</v>
      </c>
      <c r="K221" s="480">
        <v>4500</v>
      </c>
      <c r="L221" s="481"/>
      <c r="M221" s="482"/>
      <c r="N221" s="483"/>
      <c r="O221" s="513"/>
      <c r="P221" s="514">
        <v>12000</v>
      </c>
      <c r="Q221" s="486">
        <v>0.11</v>
      </c>
      <c r="R221" s="485">
        <v>19.7</v>
      </c>
      <c r="S221" s="515">
        <v>17</v>
      </c>
      <c r="T221" s="516">
        <v>31</v>
      </c>
      <c r="U221" s="490">
        <v>6</v>
      </c>
      <c r="V221" s="373"/>
      <c r="W221" s="391" t="s">
        <v>511</v>
      </c>
    </row>
    <row r="222" spans="1:23">
      <c r="A222" s="476" t="s">
        <v>693</v>
      </c>
      <c r="B222" s="542">
        <v>2.4</v>
      </c>
      <c r="C222" s="543">
        <v>3.3</v>
      </c>
      <c r="D222" s="543">
        <v>0.6</v>
      </c>
      <c r="E222" s="544">
        <v>0.73</v>
      </c>
      <c r="F222" s="512"/>
      <c r="G222" s="480"/>
      <c r="H222" s="481"/>
      <c r="I222" s="482"/>
      <c r="J222" s="483"/>
      <c r="K222" s="480"/>
      <c r="L222" s="481">
        <v>0.55000000000000004</v>
      </c>
      <c r="M222" s="482">
        <v>4500</v>
      </c>
      <c r="N222" s="483"/>
      <c r="O222" s="513"/>
      <c r="P222" s="514">
        <v>12000</v>
      </c>
      <c r="Q222" s="486">
        <v>0.11</v>
      </c>
      <c r="R222" s="485">
        <v>52</v>
      </c>
      <c r="S222" s="515">
        <v>45</v>
      </c>
      <c r="T222" s="516">
        <v>49.5</v>
      </c>
      <c r="U222" s="490">
        <v>6</v>
      </c>
      <c r="V222" s="373"/>
      <c r="W222" s="391" t="s">
        <v>511</v>
      </c>
    </row>
    <row r="223" spans="1:23">
      <c r="A223" s="476" t="s">
        <v>694</v>
      </c>
      <c r="B223" s="542">
        <v>3.2</v>
      </c>
      <c r="C223" s="543">
        <v>6.8</v>
      </c>
      <c r="D223" s="543">
        <v>0.8</v>
      </c>
      <c r="E223" s="544">
        <v>1.5</v>
      </c>
      <c r="F223" s="512"/>
      <c r="G223" s="480"/>
      <c r="H223" s="481"/>
      <c r="I223" s="482"/>
      <c r="J223" s="483">
        <v>0.72</v>
      </c>
      <c r="K223" s="480">
        <v>4500</v>
      </c>
      <c r="L223" s="481"/>
      <c r="M223" s="482"/>
      <c r="N223" s="483"/>
      <c r="O223" s="513"/>
      <c r="P223" s="514">
        <v>12000</v>
      </c>
      <c r="Q223" s="486">
        <v>0.13</v>
      </c>
      <c r="R223" s="546">
        <v>14.7</v>
      </c>
      <c r="S223" s="547">
        <v>13</v>
      </c>
      <c r="T223" s="548">
        <v>33</v>
      </c>
      <c r="U223" s="490">
        <v>6</v>
      </c>
      <c r="V223" s="373"/>
      <c r="W223" s="391" t="s">
        <v>511</v>
      </c>
    </row>
    <row r="224" spans="1:23">
      <c r="A224" s="476" t="s">
        <v>695</v>
      </c>
      <c r="B224" s="542">
        <v>3.2</v>
      </c>
      <c r="C224" s="543">
        <v>4.2</v>
      </c>
      <c r="D224" s="543">
        <v>0.8</v>
      </c>
      <c r="E224" s="544">
        <v>1</v>
      </c>
      <c r="F224" s="512"/>
      <c r="G224" s="480"/>
      <c r="H224" s="481"/>
      <c r="I224" s="482"/>
      <c r="J224" s="483"/>
      <c r="K224" s="480"/>
      <c r="L224" s="481">
        <v>0.72</v>
      </c>
      <c r="M224" s="482">
        <v>4500</v>
      </c>
      <c r="N224" s="483"/>
      <c r="O224" s="513"/>
      <c r="P224" s="514">
        <v>12000</v>
      </c>
      <c r="Q224" s="486">
        <v>0.13</v>
      </c>
      <c r="R224" s="485">
        <v>38</v>
      </c>
      <c r="S224" s="515">
        <v>39</v>
      </c>
      <c r="T224" s="516">
        <v>50</v>
      </c>
      <c r="U224" s="490">
        <v>6</v>
      </c>
      <c r="V224" s="373"/>
      <c r="W224" s="391" t="s">
        <v>511</v>
      </c>
    </row>
    <row r="225" spans="1:23">
      <c r="A225" s="476" t="s">
        <v>696</v>
      </c>
      <c r="B225" s="542">
        <v>2.6</v>
      </c>
      <c r="C225" s="543">
        <v>5</v>
      </c>
      <c r="D225" s="543">
        <v>0.65</v>
      </c>
      <c r="E225" s="544">
        <v>1.1000000000000001</v>
      </c>
      <c r="F225" s="512"/>
      <c r="G225" s="480"/>
      <c r="H225" s="481"/>
      <c r="I225" s="482"/>
      <c r="J225" s="483">
        <v>0.6</v>
      </c>
      <c r="K225" s="480">
        <v>3000</v>
      </c>
      <c r="L225" s="481"/>
      <c r="M225" s="482"/>
      <c r="N225" s="483"/>
      <c r="O225" s="513"/>
      <c r="P225" s="514">
        <v>12000</v>
      </c>
      <c r="Q225" s="486">
        <v>0.5</v>
      </c>
      <c r="R225" s="485">
        <v>28.5</v>
      </c>
      <c r="S225" s="515">
        <v>33</v>
      </c>
      <c r="T225" s="516">
        <v>36.5</v>
      </c>
      <c r="U225" s="490">
        <v>6</v>
      </c>
      <c r="V225" s="373"/>
      <c r="W225" s="391" t="s">
        <v>511</v>
      </c>
    </row>
    <row r="226" spans="1:23">
      <c r="A226" s="476" t="s">
        <v>697</v>
      </c>
      <c r="B226" s="542">
        <v>2.6</v>
      </c>
      <c r="C226" s="543">
        <v>3</v>
      </c>
      <c r="D226" s="543">
        <v>0.65</v>
      </c>
      <c r="E226" s="544">
        <v>0.67</v>
      </c>
      <c r="F226" s="512"/>
      <c r="G226" s="480"/>
      <c r="H226" s="481"/>
      <c r="I226" s="482"/>
      <c r="J226" s="483"/>
      <c r="K226" s="480"/>
      <c r="L226" s="481">
        <v>0.6</v>
      </c>
      <c r="M226" s="482">
        <v>3000</v>
      </c>
      <c r="N226" s="483"/>
      <c r="O226" s="513"/>
      <c r="P226" s="514">
        <v>12000</v>
      </c>
      <c r="Q226" s="486">
        <v>0.5</v>
      </c>
      <c r="R226" s="485">
        <v>79</v>
      </c>
      <c r="S226" s="515">
        <v>83</v>
      </c>
      <c r="T226" s="516">
        <v>59</v>
      </c>
      <c r="U226" s="490">
        <v>6</v>
      </c>
      <c r="V226" s="373"/>
      <c r="W226" s="391" t="s">
        <v>511</v>
      </c>
    </row>
    <row r="227" spans="1:23">
      <c r="A227" s="476" t="s">
        <v>698</v>
      </c>
      <c r="B227" s="542">
        <v>5.2</v>
      </c>
      <c r="C227" s="543">
        <v>7.5</v>
      </c>
      <c r="D227" s="543">
        <v>1.3</v>
      </c>
      <c r="E227" s="544">
        <v>1.7</v>
      </c>
      <c r="F227" s="512"/>
      <c r="G227" s="480"/>
      <c r="H227" s="481"/>
      <c r="I227" s="482"/>
      <c r="J227" s="483">
        <v>1.1499999999999999</v>
      </c>
      <c r="K227" s="480">
        <v>3000</v>
      </c>
      <c r="L227" s="481"/>
      <c r="M227" s="482"/>
      <c r="N227" s="483"/>
      <c r="O227" s="513"/>
      <c r="P227" s="514">
        <v>12000</v>
      </c>
      <c r="Q227" s="486">
        <v>0.8</v>
      </c>
      <c r="R227" s="485">
        <v>13</v>
      </c>
      <c r="S227" s="515">
        <v>22</v>
      </c>
      <c r="T227" s="516">
        <v>47</v>
      </c>
      <c r="U227" s="490">
        <v>6</v>
      </c>
      <c r="V227" s="373"/>
      <c r="W227" s="391" t="s">
        <v>511</v>
      </c>
    </row>
    <row r="228" spans="1:23">
      <c r="A228" s="476" t="s">
        <v>699</v>
      </c>
      <c r="B228" s="542">
        <v>5.2</v>
      </c>
      <c r="C228" s="543">
        <v>4.5</v>
      </c>
      <c r="D228" s="543">
        <v>1.3</v>
      </c>
      <c r="E228" s="544">
        <v>1</v>
      </c>
      <c r="F228" s="512"/>
      <c r="G228" s="480"/>
      <c r="H228" s="481"/>
      <c r="I228" s="482"/>
      <c r="J228" s="483"/>
      <c r="K228" s="480"/>
      <c r="L228" s="481">
        <v>1.1499999999999999</v>
      </c>
      <c r="M228" s="482">
        <v>3000</v>
      </c>
      <c r="N228" s="483"/>
      <c r="O228" s="513"/>
      <c r="P228" s="514">
        <v>12000</v>
      </c>
      <c r="Q228" s="486">
        <v>0.8</v>
      </c>
      <c r="R228" s="485">
        <v>35.5</v>
      </c>
      <c r="S228" s="515">
        <v>61</v>
      </c>
      <c r="T228" s="516">
        <v>77.5</v>
      </c>
      <c r="U228" s="490">
        <v>6</v>
      </c>
      <c r="V228" s="373"/>
      <c r="W228" s="391" t="s">
        <v>511</v>
      </c>
    </row>
    <row r="229" spans="1:23">
      <c r="A229" s="476" t="s">
        <v>700</v>
      </c>
      <c r="B229" s="542">
        <v>7.6</v>
      </c>
      <c r="C229" s="543">
        <v>12.1</v>
      </c>
      <c r="D229" s="543">
        <v>1.9</v>
      </c>
      <c r="E229" s="544">
        <v>2.6</v>
      </c>
      <c r="F229" s="512"/>
      <c r="G229" s="480"/>
      <c r="H229" s="481"/>
      <c r="I229" s="482"/>
      <c r="J229" s="483">
        <v>1.6</v>
      </c>
      <c r="K229" s="480">
        <v>3000</v>
      </c>
      <c r="L229" s="481"/>
      <c r="M229" s="482"/>
      <c r="N229" s="483"/>
      <c r="O229" s="513"/>
      <c r="P229" s="514">
        <v>12000</v>
      </c>
      <c r="Q229" s="486">
        <v>1</v>
      </c>
      <c r="R229" s="485">
        <v>6.8</v>
      </c>
      <c r="S229" s="515">
        <v>13</v>
      </c>
      <c r="T229" s="516">
        <v>43.5</v>
      </c>
      <c r="U229" s="490">
        <v>6</v>
      </c>
      <c r="V229" s="373"/>
      <c r="W229" s="391" t="s">
        <v>511</v>
      </c>
    </row>
    <row r="230" spans="1:23">
      <c r="A230" s="476" t="s">
        <v>701</v>
      </c>
      <c r="B230" s="542">
        <v>7.6</v>
      </c>
      <c r="C230" s="543">
        <v>6.9</v>
      </c>
      <c r="D230" s="543">
        <v>1.9</v>
      </c>
      <c r="E230" s="544">
        <v>1.5</v>
      </c>
      <c r="F230" s="512"/>
      <c r="G230" s="480"/>
      <c r="H230" s="481"/>
      <c r="I230" s="482"/>
      <c r="J230" s="483"/>
      <c r="K230" s="480"/>
      <c r="L230" s="481">
        <v>1.6</v>
      </c>
      <c r="M230" s="482">
        <v>3000</v>
      </c>
      <c r="N230" s="483"/>
      <c r="O230" s="513"/>
      <c r="P230" s="514">
        <v>12000</v>
      </c>
      <c r="Q230" s="486">
        <v>1</v>
      </c>
      <c r="R230" s="485">
        <v>21.3</v>
      </c>
      <c r="S230" s="515">
        <v>40</v>
      </c>
      <c r="T230" s="516">
        <v>77</v>
      </c>
      <c r="U230" s="490">
        <v>6</v>
      </c>
      <c r="V230" s="373"/>
      <c r="W230" s="391" t="s">
        <v>511</v>
      </c>
    </row>
    <row r="231" spans="1:23">
      <c r="A231" s="476" t="s">
        <v>702</v>
      </c>
      <c r="B231" s="542">
        <v>10</v>
      </c>
      <c r="C231" s="543">
        <v>13.5</v>
      </c>
      <c r="D231" s="543">
        <v>2.5</v>
      </c>
      <c r="E231" s="544">
        <v>3</v>
      </c>
      <c r="F231" s="512"/>
      <c r="G231" s="480"/>
      <c r="H231" s="481"/>
      <c r="I231" s="482"/>
      <c r="J231" s="483">
        <v>2.15</v>
      </c>
      <c r="K231" s="480">
        <v>3000</v>
      </c>
      <c r="L231" s="481"/>
      <c r="M231" s="482"/>
      <c r="N231" s="483"/>
      <c r="O231" s="513"/>
      <c r="P231" s="514">
        <v>12000</v>
      </c>
      <c r="Q231" s="486">
        <v>1.4</v>
      </c>
      <c r="R231" s="485">
        <v>5.3</v>
      </c>
      <c r="S231" s="515">
        <v>12</v>
      </c>
      <c r="T231" s="516">
        <v>49</v>
      </c>
      <c r="U231" s="490">
        <v>6</v>
      </c>
      <c r="V231" s="373"/>
      <c r="W231" s="391" t="s">
        <v>511</v>
      </c>
    </row>
    <row r="232" spans="1:23">
      <c r="A232" s="476" t="s">
        <v>703</v>
      </c>
      <c r="B232" s="542">
        <v>10</v>
      </c>
      <c r="C232" s="543">
        <v>8.1999999999999993</v>
      </c>
      <c r="D232" s="543">
        <v>2.5</v>
      </c>
      <c r="E232" s="544">
        <v>1.8</v>
      </c>
      <c r="F232" s="512"/>
      <c r="G232" s="480"/>
      <c r="H232" s="481"/>
      <c r="I232" s="482"/>
      <c r="J232" s="483"/>
      <c r="K232" s="480"/>
      <c r="L232" s="481">
        <v>2.15</v>
      </c>
      <c r="M232" s="482">
        <v>3000</v>
      </c>
      <c r="N232" s="483"/>
      <c r="O232" s="513"/>
      <c r="P232" s="514">
        <v>12000</v>
      </c>
      <c r="Q232" s="486">
        <v>1.4</v>
      </c>
      <c r="R232" s="485">
        <v>14.8</v>
      </c>
      <c r="S232" s="515">
        <v>31.4</v>
      </c>
      <c r="T232" s="516">
        <v>83</v>
      </c>
      <c r="U232" s="490">
        <v>6</v>
      </c>
      <c r="V232" s="373"/>
      <c r="W232" s="391" t="s">
        <v>511</v>
      </c>
    </row>
    <row r="233" spans="1:23">
      <c r="A233" s="476" t="s">
        <v>704</v>
      </c>
      <c r="B233" s="542">
        <v>12</v>
      </c>
      <c r="C233" s="543">
        <v>17.399999999999999</v>
      </c>
      <c r="D233" s="543">
        <v>3</v>
      </c>
      <c r="E233" s="544">
        <v>3.8</v>
      </c>
      <c r="F233" s="512"/>
      <c r="G233" s="480"/>
      <c r="H233" s="481"/>
      <c r="I233" s="482"/>
      <c r="J233" s="483">
        <v>2.5</v>
      </c>
      <c r="K233" s="480">
        <v>3000</v>
      </c>
      <c r="L233" s="481"/>
      <c r="M233" s="482"/>
      <c r="N233" s="483"/>
      <c r="O233" s="513"/>
      <c r="P233" s="514">
        <v>12000</v>
      </c>
      <c r="Q233" s="486">
        <v>1.7</v>
      </c>
      <c r="R233" s="485">
        <v>3.7</v>
      </c>
      <c r="S233" s="515">
        <v>8.4</v>
      </c>
      <c r="T233" s="516">
        <v>48</v>
      </c>
      <c r="U233" s="490">
        <v>6</v>
      </c>
      <c r="V233" s="373"/>
      <c r="W233" s="391" t="s">
        <v>511</v>
      </c>
    </row>
    <row r="234" spans="1:23">
      <c r="A234" s="476" t="s">
        <v>705</v>
      </c>
      <c r="B234" s="542">
        <v>12</v>
      </c>
      <c r="C234" s="543">
        <v>9.5</v>
      </c>
      <c r="D234" s="543">
        <v>3</v>
      </c>
      <c r="E234" s="544">
        <v>2.1</v>
      </c>
      <c r="F234" s="512"/>
      <c r="G234" s="480"/>
      <c r="H234" s="481"/>
      <c r="I234" s="482"/>
      <c r="J234" s="483"/>
      <c r="K234" s="480"/>
      <c r="L234" s="481">
        <v>2.5</v>
      </c>
      <c r="M234" s="482">
        <v>3000</v>
      </c>
      <c r="N234" s="483"/>
      <c r="O234" s="513"/>
      <c r="P234" s="514">
        <v>12000</v>
      </c>
      <c r="Q234" s="486">
        <v>1.7</v>
      </c>
      <c r="R234" s="485">
        <v>11.5</v>
      </c>
      <c r="S234" s="515">
        <v>25</v>
      </c>
      <c r="T234" s="516">
        <v>88</v>
      </c>
      <c r="U234" s="490">
        <v>6</v>
      </c>
      <c r="V234" s="373"/>
      <c r="W234" s="391" t="s">
        <v>511</v>
      </c>
    </row>
    <row r="235" spans="1:23">
      <c r="A235" s="476" t="s">
        <v>706</v>
      </c>
      <c r="B235" s="542">
        <v>10.4</v>
      </c>
      <c r="C235" s="543">
        <v>15.7</v>
      </c>
      <c r="D235" s="543">
        <v>2.6</v>
      </c>
      <c r="E235" s="544">
        <v>3.4</v>
      </c>
      <c r="F235" s="512"/>
      <c r="G235" s="480"/>
      <c r="H235" s="481"/>
      <c r="I235" s="482"/>
      <c r="J235" s="483">
        <v>2.2999999999999998</v>
      </c>
      <c r="K235" s="480">
        <v>3000</v>
      </c>
      <c r="L235" s="481"/>
      <c r="M235" s="482"/>
      <c r="N235" s="483"/>
      <c r="O235" s="513"/>
      <c r="P235" s="514">
        <v>12000</v>
      </c>
      <c r="Q235" s="486">
        <v>2.1</v>
      </c>
      <c r="R235" s="485">
        <v>3.1</v>
      </c>
      <c r="S235" s="515">
        <v>1.7</v>
      </c>
      <c r="T235" s="516">
        <v>46</v>
      </c>
      <c r="U235" s="490">
        <v>6</v>
      </c>
      <c r="V235" s="373"/>
      <c r="W235" s="391" t="s">
        <v>511</v>
      </c>
    </row>
    <row r="236" spans="1:23">
      <c r="A236" s="476" t="s">
        <v>707</v>
      </c>
      <c r="B236" s="542">
        <v>10.4</v>
      </c>
      <c r="C236" s="543">
        <v>8.6</v>
      </c>
      <c r="D236" s="543">
        <v>2.6</v>
      </c>
      <c r="E236" s="544">
        <v>1.9</v>
      </c>
      <c r="F236" s="512"/>
      <c r="G236" s="480"/>
      <c r="H236" s="481"/>
      <c r="I236" s="482"/>
      <c r="J236" s="483"/>
      <c r="K236" s="480"/>
      <c r="L236" s="481">
        <v>2.2999999999999998</v>
      </c>
      <c r="M236" s="482">
        <v>3000</v>
      </c>
      <c r="N236" s="483"/>
      <c r="O236" s="513"/>
      <c r="P236" s="514">
        <v>12000</v>
      </c>
      <c r="Q236" s="486">
        <v>2.1</v>
      </c>
      <c r="R236" s="485">
        <v>9.5</v>
      </c>
      <c r="S236" s="515">
        <v>40</v>
      </c>
      <c r="T236" s="516">
        <v>8.1999999999999993</v>
      </c>
      <c r="U236" s="490">
        <v>6</v>
      </c>
      <c r="V236" s="373"/>
      <c r="W236" s="391" t="s">
        <v>511</v>
      </c>
    </row>
    <row r="237" spans="1:23">
      <c r="A237" s="476" t="s">
        <v>708</v>
      </c>
      <c r="B237" s="542">
        <v>21.2</v>
      </c>
      <c r="C237" s="543">
        <v>30</v>
      </c>
      <c r="D237" s="543">
        <v>5.3</v>
      </c>
      <c r="E237" s="544">
        <v>6.5</v>
      </c>
      <c r="F237" s="512"/>
      <c r="G237" s="480"/>
      <c r="H237" s="481"/>
      <c r="I237" s="482"/>
      <c r="J237" s="483">
        <v>4.5999999999999996</v>
      </c>
      <c r="K237" s="480">
        <v>3000</v>
      </c>
      <c r="L237" s="481"/>
      <c r="M237" s="482"/>
      <c r="N237" s="483"/>
      <c r="O237" s="513"/>
      <c r="P237" s="514">
        <v>12000</v>
      </c>
      <c r="Q237" s="486">
        <v>2.8</v>
      </c>
      <c r="R237" s="485">
        <v>1.65</v>
      </c>
      <c r="S237" s="515">
        <v>9.3000000000000007</v>
      </c>
      <c r="T237" s="516">
        <v>49</v>
      </c>
      <c r="U237" s="490">
        <v>6</v>
      </c>
      <c r="V237" s="373"/>
      <c r="W237" s="391" t="s">
        <v>511</v>
      </c>
    </row>
    <row r="238" spans="1:23">
      <c r="A238" s="476" t="s">
        <v>709</v>
      </c>
      <c r="B238" s="542">
        <v>21.2</v>
      </c>
      <c r="C238" s="543">
        <v>18</v>
      </c>
      <c r="D238" s="543">
        <v>5.3</v>
      </c>
      <c r="E238" s="544">
        <v>4</v>
      </c>
      <c r="F238" s="512"/>
      <c r="G238" s="480"/>
      <c r="H238" s="481"/>
      <c r="I238" s="482"/>
      <c r="J238" s="483"/>
      <c r="K238" s="480"/>
      <c r="L238" s="481">
        <v>4.5999999999999996</v>
      </c>
      <c r="M238" s="482">
        <v>3000</v>
      </c>
      <c r="N238" s="483"/>
      <c r="O238" s="513"/>
      <c r="P238" s="514">
        <v>12000</v>
      </c>
      <c r="Q238" s="486">
        <v>2.8</v>
      </c>
      <c r="R238" s="485">
        <v>4.0999999999999996</v>
      </c>
      <c r="S238" s="515">
        <v>20.7</v>
      </c>
      <c r="T238" s="516">
        <v>80</v>
      </c>
      <c r="U238" s="490">
        <v>6</v>
      </c>
      <c r="V238" s="373"/>
      <c r="W238" s="391" t="s">
        <v>511</v>
      </c>
    </row>
    <row r="239" spans="1:23">
      <c r="A239" s="476" t="s">
        <v>710</v>
      </c>
      <c r="B239" s="542">
        <v>30</v>
      </c>
      <c r="C239" s="543">
        <v>43</v>
      </c>
      <c r="D239" s="543">
        <v>7.5</v>
      </c>
      <c r="E239" s="544">
        <v>9.3000000000000007</v>
      </c>
      <c r="F239" s="512"/>
      <c r="G239" s="480"/>
      <c r="H239" s="481"/>
      <c r="I239" s="482"/>
      <c r="J239" s="483">
        <v>6.4</v>
      </c>
      <c r="K239" s="480">
        <v>3000</v>
      </c>
      <c r="L239" s="481"/>
      <c r="M239" s="482"/>
      <c r="N239" s="483"/>
      <c r="O239" s="513"/>
      <c r="P239" s="514">
        <v>12000</v>
      </c>
      <c r="Q239" s="486">
        <v>4.3</v>
      </c>
      <c r="R239" s="485">
        <v>0.86</v>
      </c>
      <c r="S239" s="515">
        <v>5.3</v>
      </c>
      <c r="T239" s="516">
        <v>49</v>
      </c>
      <c r="U239" s="490">
        <v>6</v>
      </c>
      <c r="V239" s="373"/>
      <c r="W239" s="391" t="s">
        <v>511</v>
      </c>
    </row>
    <row r="240" spans="1:23">
      <c r="A240" s="476" t="s">
        <v>711</v>
      </c>
      <c r="B240" s="542">
        <v>30</v>
      </c>
      <c r="C240" s="543">
        <v>22</v>
      </c>
      <c r="D240" s="543">
        <v>7.5</v>
      </c>
      <c r="E240" s="544">
        <v>4.7</v>
      </c>
      <c r="F240" s="512"/>
      <c r="G240" s="480"/>
      <c r="H240" s="481"/>
      <c r="I240" s="482"/>
      <c r="J240" s="483"/>
      <c r="K240" s="480"/>
      <c r="L240" s="481">
        <v>6.4</v>
      </c>
      <c r="M240" s="482">
        <v>3000</v>
      </c>
      <c r="N240" s="483"/>
      <c r="O240" s="513"/>
      <c r="P240" s="514">
        <v>12000</v>
      </c>
      <c r="Q240" s="486">
        <v>4.3</v>
      </c>
      <c r="R240" s="485">
        <v>2.9</v>
      </c>
      <c r="S240" s="515">
        <v>17</v>
      </c>
      <c r="T240" s="516">
        <v>96</v>
      </c>
      <c r="U240" s="490">
        <v>6</v>
      </c>
      <c r="V240" s="373"/>
      <c r="W240" s="391" t="s">
        <v>511</v>
      </c>
    </row>
    <row r="241" spans="1:23">
      <c r="A241" s="476" t="s">
        <v>712</v>
      </c>
      <c r="B241" s="542">
        <v>19.8</v>
      </c>
      <c r="C241" s="543">
        <v>35</v>
      </c>
      <c r="D241" s="543">
        <v>6.6</v>
      </c>
      <c r="E241" s="544">
        <v>7.7</v>
      </c>
      <c r="F241" s="512"/>
      <c r="G241" s="480"/>
      <c r="H241" s="481"/>
      <c r="I241" s="482"/>
      <c r="J241" s="483">
        <v>5.6</v>
      </c>
      <c r="K241" s="480">
        <v>3000</v>
      </c>
      <c r="L241" s="481"/>
      <c r="M241" s="482"/>
      <c r="N241" s="483"/>
      <c r="O241" s="513"/>
      <c r="P241" s="514">
        <v>9000</v>
      </c>
      <c r="Q241" s="486">
        <v>8.9</v>
      </c>
      <c r="R241" s="549">
        <v>1.2</v>
      </c>
      <c r="S241" s="550">
        <v>7.2</v>
      </c>
      <c r="T241" s="551">
        <v>52</v>
      </c>
      <c r="U241" s="490">
        <v>6</v>
      </c>
      <c r="V241" s="373"/>
      <c r="W241" s="391" t="s">
        <v>511</v>
      </c>
    </row>
    <row r="242" spans="1:23">
      <c r="A242" s="476" t="s">
        <v>713</v>
      </c>
      <c r="B242" s="542">
        <v>19.8</v>
      </c>
      <c r="C242" s="543">
        <v>21</v>
      </c>
      <c r="D242" s="543">
        <v>6.6</v>
      </c>
      <c r="E242" s="544">
        <v>4.5999999999999996</v>
      </c>
      <c r="F242" s="512"/>
      <c r="G242" s="480"/>
      <c r="H242" s="481"/>
      <c r="I242" s="482"/>
      <c r="J242" s="483"/>
      <c r="K242" s="480"/>
      <c r="L242" s="481">
        <v>5.6</v>
      </c>
      <c r="M242" s="482">
        <v>3000</v>
      </c>
      <c r="N242" s="483"/>
      <c r="O242" s="513"/>
      <c r="P242" s="514">
        <v>9000</v>
      </c>
      <c r="Q242" s="486">
        <v>8.9</v>
      </c>
      <c r="R242" s="485">
        <v>3.55</v>
      </c>
      <c r="S242" s="515">
        <v>17.3</v>
      </c>
      <c r="T242" s="516">
        <v>87.5</v>
      </c>
      <c r="U242" s="490">
        <v>6</v>
      </c>
      <c r="V242" s="373"/>
      <c r="W242" s="391" t="s">
        <v>511</v>
      </c>
    </row>
    <row r="243" spans="1:23">
      <c r="A243" s="476" t="s">
        <v>714</v>
      </c>
      <c r="B243" s="542">
        <v>31.5</v>
      </c>
      <c r="C243" s="543">
        <v>61</v>
      </c>
      <c r="D243" s="543">
        <v>10.5</v>
      </c>
      <c r="E243" s="544">
        <v>12.7</v>
      </c>
      <c r="F243" s="512"/>
      <c r="G243" s="480"/>
      <c r="H243" s="481"/>
      <c r="I243" s="482"/>
      <c r="J243" s="483">
        <v>8.5</v>
      </c>
      <c r="K243" s="480">
        <v>3000</v>
      </c>
      <c r="L243" s="481"/>
      <c r="M243" s="482"/>
      <c r="N243" s="483"/>
      <c r="O243" s="513"/>
      <c r="P243" s="514">
        <v>9000</v>
      </c>
      <c r="Q243" s="486">
        <v>11.9</v>
      </c>
      <c r="R243" s="485">
        <v>0.57999999999999996</v>
      </c>
      <c r="S243" s="515">
        <v>4.3</v>
      </c>
      <c r="T243" s="516">
        <v>50</v>
      </c>
      <c r="U243" s="490">
        <v>6</v>
      </c>
      <c r="V243" s="373"/>
      <c r="W243" s="391" t="s">
        <v>511</v>
      </c>
    </row>
    <row r="244" spans="1:23">
      <c r="A244" s="476" t="s">
        <v>715</v>
      </c>
      <c r="B244" s="542">
        <v>31.5</v>
      </c>
      <c r="C244" s="543">
        <v>34</v>
      </c>
      <c r="D244" s="543">
        <v>10.5</v>
      </c>
      <c r="E244" s="544">
        <v>7.1</v>
      </c>
      <c r="F244" s="512"/>
      <c r="G244" s="480"/>
      <c r="H244" s="481"/>
      <c r="I244" s="482"/>
      <c r="J244" s="483"/>
      <c r="K244" s="480"/>
      <c r="L244" s="481">
        <v>8.5</v>
      </c>
      <c r="M244" s="482">
        <v>3000</v>
      </c>
      <c r="N244" s="483"/>
      <c r="O244" s="513"/>
      <c r="P244" s="514">
        <v>9000</v>
      </c>
      <c r="Q244" s="486">
        <v>11.9</v>
      </c>
      <c r="R244" s="485">
        <v>1.7</v>
      </c>
      <c r="S244" s="515">
        <v>11.5</v>
      </c>
      <c r="T244" s="516">
        <v>90</v>
      </c>
      <c r="U244" s="490">
        <v>6</v>
      </c>
      <c r="V244" s="373"/>
      <c r="W244" s="391" t="s">
        <v>511</v>
      </c>
    </row>
    <row r="245" spans="1:23">
      <c r="A245" s="476" t="s">
        <v>716</v>
      </c>
      <c r="B245" s="542">
        <v>40.5</v>
      </c>
      <c r="C245" s="543">
        <v>80</v>
      </c>
      <c r="D245" s="543">
        <v>13.5</v>
      </c>
      <c r="E245" s="544">
        <v>16.8</v>
      </c>
      <c r="F245" s="512"/>
      <c r="G245" s="480"/>
      <c r="H245" s="481"/>
      <c r="I245" s="482"/>
      <c r="J245" s="483">
        <v>10.7</v>
      </c>
      <c r="K245" s="480">
        <v>3000</v>
      </c>
      <c r="L245" s="481"/>
      <c r="M245" s="482"/>
      <c r="N245" s="483"/>
      <c r="O245" s="513"/>
      <c r="P245" s="514">
        <v>9000</v>
      </c>
      <c r="Q245" s="486">
        <v>13.4</v>
      </c>
      <c r="R245" s="485">
        <v>0.5</v>
      </c>
      <c r="S245" s="515">
        <v>4.3</v>
      </c>
      <c r="T245" s="516">
        <v>51</v>
      </c>
      <c r="U245" s="490">
        <v>6</v>
      </c>
      <c r="V245" s="373"/>
      <c r="W245" s="391" t="s">
        <v>511</v>
      </c>
    </row>
    <row r="246" spans="1:23">
      <c r="A246" s="476" t="s">
        <v>717</v>
      </c>
      <c r="B246" s="542">
        <v>40.5</v>
      </c>
      <c r="C246" s="543">
        <v>42</v>
      </c>
      <c r="D246" s="543">
        <v>13.5</v>
      </c>
      <c r="E246" s="544">
        <v>9.1</v>
      </c>
      <c r="F246" s="512"/>
      <c r="G246" s="480"/>
      <c r="H246" s="481"/>
      <c r="I246" s="482"/>
      <c r="J246" s="483"/>
      <c r="K246" s="480"/>
      <c r="L246" s="481">
        <v>10.7</v>
      </c>
      <c r="M246" s="482">
        <v>3000</v>
      </c>
      <c r="N246" s="483"/>
      <c r="O246" s="513"/>
      <c r="P246" s="514">
        <v>9000</v>
      </c>
      <c r="Q246" s="486">
        <v>13.4</v>
      </c>
      <c r="R246" s="485">
        <v>1.36</v>
      </c>
      <c r="S246" s="515">
        <v>11</v>
      </c>
      <c r="T246" s="516">
        <v>90</v>
      </c>
      <c r="U246" s="490">
        <v>6</v>
      </c>
      <c r="V246" s="373"/>
      <c r="W246" s="391" t="s">
        <v>511</v>
      </c>
    </row>
    <row r="247" spans="1:23">
      <c r="A247" s="476" t="s">
        <v>718</v>
      </c>
      <c r="B247" s="542">
        <v>51</v>
      </c>
      <c r="C247" s="543">
        <v>95</v>
      </c>
      <c r="D247" s="543">
        <v>17</v>
      </c>
      <c r="E247" s="544">
        <v>20.6</v>
      </c>
      <c r="F247" s="512"/>
      <c r="G247" s="480"/>
      <c r="H247" s="481"/>
      <c r="I247" s="482"/>
      <c r="J247" s="483">
        <v>14</v>
      </c>
      <c r="K247" s="480">
        <v>3000</v>
      </c>
      <c r="L247" s="481"/>
      <c r="M247" s="482"/>
      <c r="N247" s="483"/>
      <c r="O247" s="513"/>
      <c r="P247" s="514">
        <v>9000</v>
      </c>
      <c r="Q247" s="486">
        <v>17.2</v>
      </c>
      <c r="R247" s="485">
        <v>0.31</v>
      </c>
      <c r="S247" s="515">
        <v>2.2999999999999998</v>
      </c>
      <c r="T247" s="516">
        <v>50</v>
      </c>
      <c r="U247" s="490">
        <v>6</v>
      </c>
      <c r="V247" s="373"/>
      <c r="W247" s="391" t="s">
        <v>511</v>
      </c>
    </row>
    <row r="248" spans="1:23">
      <c r="A248" s="476" t="s">
        <v>719</v>
      </c>
      <c r="B248" s="542">
        <v>51</v>
      </c>
      <c r="C248" s="543">
        <v>52</v>
      </c>
      <c r="D248" s="543">
        <v>17</v>
      </c>
      <c r="E248" s="544">
        <v>10.7</v>
      </c>
      <c r="F248" s="512"/>
      <c r="G248" s="480"/>
      <c r="H248" s="481"/>
      <c r="I248" s="482"/>
      <c r="J248" s="483"/>
      <c r="K248" s="480"/>
      <c r="L248" s="481">
        <v>14</v>
      </c>
      <c r="M248" s="482">
        <v>3000</v>
      </c>
      <c r="N248" s="483"/>
      <c r="O248" s="513"/>
      <c r="P248" s="514">
        <v>9000</v>
      </c>
      <c r="Q248" s="486">
        <v>17.2</v>
      </c>
      <c r="R248" s="485">
        <v>1.1000000000000001</v>
      </c>
      <c r="S248" s="515">
        <v>8</v>
      </c>
      <c r="T248" s="516">
        <v>96</v>
      </c>
      <c r="U248" s="490">
        <v>6</v>
      </c>
      <c r="V248" s="373"/>
      <c r="W248" s="391" t="s">
        <v>511</v>
      </c>
    </row>
    <row r="249" spans="1:23">
      <c r="A249" s="476" t="s">
        <v>720</v>
      </c>
      <c r="B249" s="542">
        <v>66</v>
      </c>
      <c r="C249" s="543">
        <v>117</v>
      </c>
      <c r="D249" s="543">
        <v>22</v>
      </c>
      <c r="E249" s="544">
        <v>24.6</v>
      </c>
      <c r="F249" s="512"/>
      <c r="G249" s="480"/>
      <c r="H249" s="481"/>
      <c r="I249" s="482"/>
      <c r="J249" s="483">
        <v>17</v>
      </c>
      <c r="K249" s="480">
        <v>3000</v>
      </c>
      <c r="L249" s="481"/>
      <c r="M249" s="482"/>
      <c r="N249" s="483"/>
      <c r="O249" s="513"/>
      <c r="P249" s="514">
        <v>9000</v>
      </c>
      <c r="Q249" s="486">
        <v>19.899999999999999</v>
      </c>
      <c r="R249" s="485">
        <v>0.27</v>
      </c>
      <c r="S249" s="515">
        <v>2.8</v>
      </c>
      <c r="T249" s="516">
        <v>54</v>
      </c>
      <c r="U249" s="490">
        <v>6</v>
      </c>
      <c r="V249" s="373"/>
      <c r="W249" s="391" t="s">
        <v>511</v>
      </c>
    </row>
    <row r="250" spans="1:23">
      <c r="A250" s="476" t="s">
        <v>721</v>
      </c>
      <c r="B250" s="542">
        <v>66</v>
      </c>
      <c r="C250" s="543">
        <v>70</v>
      </c>
      <c r="D250" s="543">
        <v>22</v>
      </c>
      <c r="E250" s="544">
        <v>14.8</v>
      </c>
      <c r="F250" s="512"/>
      <c r="G250" s="480"/>
      <c r="H250" s="481"/>
      <c r="I250" s="482"/>
      <c r="J250" s="483"/>
      <c r="K250" s="480"/>
      <c r="L250" s="481">
        <v>17</v>
      </c>
      <c r="M250" s="482">
        <v>3000</v>
      </c>
      <c r="N250" s="483"/>
      <c r="O250" s="513"/>
      <c r="P250" s="514">
        <v>9000</v>
      </c>
      <c r="Q250" s="486">
        <v>19.899999999999999</v>
      </c>
      <c r="R250" s="485">
        <v>0.75</v>
      </c>
      <c r="S250" s="515">
        <v>7.7</v>
      </c>
      <c r="T250" s="516">
        <v>90</v>
      </c>
      <c r="U250" s="490">
        <v>6</v>
      </c>
      <c r="V250" s="373"/>
      <c r="W250" s="391" t="s">
        <v>511</v>
      </c>
    </row>
    <row r="251" spans="1:23">
      <c r="A251" s="476" t="s">
        <v>722</v>
      </c>
      <c r="B251" s="542">
        <v>40.5</v>
      </c>
      <c r="C251" s="543">
        <v>84</v>
      </c>
      <c r="D251" s="543">
        <v>13.5</v>
      </c>
      <c r="E251" s="544">
        <v>18.3</v>
      </c>
      <c r="F251" s="512"/>
      <c r="G251" s="480"/>
      <c r="H251" s="481"/>
      <c r="I251" s="482"/>
      <c r="J251" s="483">
        <v>10</v>
      </c>
      <c r="K251" s="480">
        <v>3000</v>
      </c>
      <c r="L251" s="481"/>
      <c r="M251" s="482"/>
      <c r="N251" s="483"/>
      <c r="O251" s="513"/>
      <c r="P251" s="514">
        <v>6000</v>
      </c>
      <c r="Q251" s="486">
        <v>15.9</v>
      </c>
      <c r="R251" s="485">
        <v>0.52</v>
      </c>
      <c r="S251" s="515">
        <v>4.8</v>
      </c>
      <c r="T251" s="516">
        <v>44.5</v>
      </c>
      <c r="U251" s="490">
        <v>6</v>
      </c>
      <c r="V251" s="373"/>
      <c r="W251" s="391" t="s">
        <v>511</v>
      </c>
    </row>
    <row r="252" spans="1:23">
      <c r="A252" s="476" t="s">
        <v>723</v>
      </c>
      <c r="B252" s="542">
        <v>40.5</v>
      </c>
      <c r="C252" s="543">
        <v>50</v>
      </c>
      <c r="D252" s="543">
        <v>13.5</v>
      </c>
      <c r="E252" s="544">
        <v>10.9</v>
      </c>
      <c r="F252" s="512"/>
      <c r="G252" s="480"/>
      <c r="H252" s="481"/>
      <c r="I252" s="482"/>
      <c r="J252" s="483"/>
      <c r="K252" s="480"/>
      <c r="L252" s="481">
        <v>10</v>
      </c>
      <c r="M252" s="482">
        <v>3000</v>
      </c>
      <c r="N252" s="483"/>
      <c r="O252" s="513"/>
      <c r="P252" s="514">
        <v>6000</v>
      </c>
      <c r="Q252" s="486">
        <v>15.9</v>
      </c>
      <c r="R252" s="485">
        <v>1.47</v>
      </c>
      <c r="S252" s="515">
        <v>13.5</v>
      </c>
      <c r="T252" s="516">
        <v>75</v>
      </c>
      <c r="U252" s="490">
        <v>6</v>
      </c>
      <c r="V252" s="373"/>
      <c r="W252" s="391" t="s">
        <v>511</v>
      </c>
    </row>
    <row r="253" spans="1:23">
      <c r="A253" s="476" t="s">
        <v>724</v>
      </c>
      <c r="B253" s="542">
        <v>57</v>
      </c>
      <c r="C253" s="543">
        <v>112</v>
      </c>
      <c r="D253" s="543">
        <v>19</v>
      </c>
      <c r="E253" s="544">
        <v>23</v>
      </c>
      <c r="F253" s="512"/>
      <c r="G253" s="480"/>
      <c r="H253" s="481"/>
      <c r="I253" s="482"/>
      <c r="J253" s="483">
        <v>14</v>
      </c>
      <c r="K253" s="480">
        <v>3000</v>
      </c>
      <c r="L253" s="481"/>
      <c r="M253" s="482"/>
      <c r="N253" s="483"/>
      <c r="O253" s="513"/>
      <c r="P253" s="514">
        <v>6000</v>
      </c>
      <c r="Q253" s="486">
        <v>22</v>
      </c>
      <c r="R253" s="485">
        <v>0.31</v>
      </c>
      <c r="S253" s="515">
        <v>3.4</v>
      </c>
      <c r="T253" s="516">
        <v>50</v>
      </c>
      <c r="U253" s="490">
        <v>6</v>
      </c>
      <c r="V253" s="373"/>
      <c r="W253" s="391" t="s">
        <v>511</v>
      </c>
    </row>
    <row r="254" spans="1:23">
      <c r="A254" s="476" t="s">
        <v>725</v>
      </c>
      <c r="B254" s="542">
        <v>57</v>
      </c>
      <c r="C254" s="543">
        <v>63</v>
      </c>
      <c r="D254" s="543">
        <v>19</v>
      </c>
      <c r="E254" s="544">
        <v>13.5</v>
      </c>
      <c r="F254" s="512"/>
      <c r="G254" s="480"/>
      <c r="H254" s="481"/>
      <c r="I254" s="482"/>
      <c r="J254" s="483"/>
      <c r="K254" s="480"/>
      <c r="L254" s="481">
        <v>14</v>
      </c>
      <c r="M254" s="482">
        <v>3000</v>
      </c>
      <c r="N254" s="483"/>
      <c r="O254" s="513"/>
      <c r="P254" s="514">
        <v>6000</v>
      </c>
      <c r="Q254" s="486">
        <v>22</v>
      </c>
      <c r="R254" s="485">
        <v>0.88</v>
      </c>
      <c r="S254" s="515">
        <v>10</v>
      </c>
      <c r="T254" s="516">
        <v>85</v>
      </c>
      <c r="U254" s="490">
        <v>6</v>
      </c>
      <c r="V254" s="373"/>
      <c r="W254" s="391" t="s">
        <v>511</v>
      </c>
    </row>
    <row r="255" spans="1:23">
      <c r="A255" s="476" t="s">
        <v>726</v>
      </c>
      <c r="B255" s="542">
        <v>66</v>
      </c>
      <c r="C255" s="543">
        <v>120</v>
      </c>
      <c r="D255" s="543">
        <v>22</v>
      </c>
      <c r="E255" s="544">
        <v>26.1</v>
      </c>
      <c r="F255" s="512"/>
      <c r="G255" s="480"/>
      <c r="H255" s="481"/>
      <c r="I255" s="482"/>
      <c r="J255" s="483">
        <v>16</v>
      </c>
      <c r="K255" s="480">
        <v>3000</v>
      </c>
      <c r="L255" s="481"/>
      <c r="M255" s="482"/>
      <c r="N255" s="483"/>
      <c r="O255" s="513"/>
      <c r="P255" s="514">
        <v>6000</v>
      </c>
      <c r="Q255" s="486">
        <v>25.1</v>
      </c>
      <c r="R255" s="485">
        <v>0.24</v>
      </c>
      <c r="S255" s="515">
        <v>2.8</v>
      </c>
      <c r="T255" s="516">
        <v>51</v>
      </c>
      <c r="U255" s="490">
        <v>6</v>
      </c>
      <c r="V255" s="373"/>
      <c r="W255" s="391" t="s">
        <v>511</v>
      </c>
    </row>
    <row r="256" spans="1:23">
      <c r="A256" s="476" t="s">
        <v>727</v>
      </c>
      <c r="B256" s="542">
        <v>66</v>
      </c>
      <c r="C256" s="543">
        <v>70</v>
      </c>
      <c r="D256" s="543">
        <v>22</v>
      </c>
      <c r="E256" s="544">
        <v>15.1</v>
      </c>
      <c r="F256" s="512"/>
      <c r="G256" s="480"/>
      <c r="H256" s="481"/>
      <c r="I256" s="482"/>
      <c r="J256" s="483"/>
      <c r="K256" s="480"/>
      <c r="L256" s="481">
        <v>16</v>
      </c>
      <c r="M256" s="482">
        <v>3000</v>
      </c>
      <c r="N256" s="483"/>
      <c r="O256" s="513"/>
      <c r="P256" s="514">
        <v>6000</v>
      </c>
      <c r="Q256" s="486">
        <v>25.1</v>
      </c>
      <c r="R256" s="485">
        <v>0.72</v>
      </c>
      <c r="S256" s="515">
        <v>8.5</v>
      </c>
      <c r="T256" s="516">
        <v>88</v>
      </c>
      <c r="U256" s="490">
        <v>6</v>
      </c>
      <c r="V256" s="373"/>
      <c r="W256" s="391" t="s">
        <v>511</v>
      </c>
    </row>
    <row r="257" spans="1:23">
      <c r="A257" s="476" t="s">
        <v>728</v>
      </c>
      <c r="B257" s="542">
        <v>87</v>
      </c>
      <c r="C257" s="543">
        <v>156</v>
      </c>
      <c r="D257" s="543">
        <v>29</v>
      </c>
      <c r="E257" s="544">
        <v>37.299999999999997</v>
      </c>
      <c r="F257" s="512"/>
      <c r="G257" s="480"/>
      <c r="H257" s="481"/>
      <c r="I257" s="482"/>
      <c r="J257" s="483">
        <v>22</v>
      </c>
      <c r="K257" s="480">
        <v>3000</v>
      </c>
      <c r="L257" s="481"/>
      <c r="M257" s="482"/>
      <c r="N257" s="483"/>
      <c r="O257" s="513"/>
      <c r="P257" s="514">
        <v>6000</v>
      </c>
      <c r="Q257" s="486">
        <v>38.200000000000003</v>
      </c>
      <c r="R257" s="485">
        <v>0.12</v>
      </c>
      <c r="S257" s="515">
        <v>1.4</v>
      </c>
      <c r="T257" s="516">
        <v>47</v>
      </c>
      <c r="U257" s="490">
        <v>6</v>
      </c>
      <c r="V257" s="373"/>
      <c r="W257" s="391" t="s">
        <v>511</v>
      </c>
    </row>
    <row r="258" spans="1:23">
      <c r="A258" s="476" t="s">
        <v>729</v>
      </c>
      <c r="B258" s="542">
        <v>87</v>
      </c>
      <c r="C258" s="543">
        <v>94</v>
      </c>
      <c r="D258" s="543">
        <v>29</v>
      </c>
      <c r="E258" s="544">
        <v>20.399999999999999</v>
      </c>
      <c r="F258" s="512"/>
      <c r="G258" s="480"/>
      <c r="H258" s="481"/>
      <c r="I258" s="482"/>
      <c r="J258" s="483"/>
      <c r="K258" s="480"/>
      <c r="L258" s="481">
        <v>22</v>
      </c>
      <c r="M258" s="482">
        <v>3000</v>
      </c>
      <c r="N258" s="483"/>
      <c r="O258" s="513"/>
      <c r="P258" s="514">
        <v>6000</v>
      </c>
      <c r="Q258" s="486">
        <v>38.200000000000003</v>
      </c>
      <c r="R258" s="485">
        <v>0.33</v>
      </c>
      <c r="S258" s="515">
        <v>4.5</v>
      </c>
      <c r="T258" s="516">
        <v>86</v>
      </c>
      <c r="U258" s="490">
        <v>6</v>
      </c>
      <c r="V258" s="373"/>
      <c r="W258" s="391" t="s">
        <v>511</v>
      </c>
    </row>
    <row r="259" spans="1:23">
      <c r="A259" s="476" t="s">
        <v>730</v>
      </c>
      <c r="B259" s="542">
        <v>78</v>
      </c>
      <c r="C259" s="543">
        <v>137</v>
      </c>
      <c r="D259" s="543">
        <v>26</v>
      </c>
      <c r="E259" s="544">
        <v>30.5</v>
      </c>
      <c r="F259" s="512"/>
      <c r="G259" s="480"/>
      <c r="H259" s="481"/>
      <c r="I259" s="482"/>
      <c r="J259" s="483">
        <v>20</v>
      </c>
      <c r="K259" s="480">
        <v>3000</v>
      </c>
      <c r="L259" s="481"/>
      <c r="M259" s="482"/>
      <c r="N259" s="483"/>
      <c r="O259" s="513"/>
      <c r="P259" s="514">
        <v>4500</v>
      </c>
      <c r="Q259" s="486">
        <v>97</v>
      </c>
      <c r="R259" s="485">
        <v>0.14000000000000001</v>
      </c>
      <c r="S259" s="515">
        <v>1.3</v>
      </c>
      <c r="T259" s="516">
        <v>51.5</v>
      </c>
      <c r="U259" s="490">
        <v>6</v>
      </c>
      <c r="V259" s="373"/>
      <c r="W259" s="391" t="s">
        <v>511</v>
      </c>
    </row>
    <row r="260" spans="1:23">
      <c r="A260" s="476" t="s">
        <v>731</v>
      </c>
      <c r="B260" s="542">
        <v>78</v>
      </c>
      <c r="C260" s="543">
        <v>66</v>
      </c>
      <c r="D260" s="543">
        <v>26</v>
      </c>
      <c r="E260" s="544">
        <v>17</v>
      </c>
      <c r="F260" s="512"/>
      <c r="G260" s="480"/>
      <c r="H260" s="481"/>
      <c r="I260" s="482"/>
      <c r="J260" s="483"/>
      <c r="K260" s="480"/>
      <c r="L260" s="481">
        <v>20</v>
      </c>
      <c r="M260" s="482">
        <v>3000</v>
      </c>
      <c r="N260" s="483"/>
      <c r="O260" s="513"/>
      <c r="P260" s="514">
        <v>4500</v>
      </c>
      <c r="Q260" s="486">
        <v>97</v>
      </c>
      <c r="R260" s="485">
        <v>0.48</v>
      </c>
      <c r="S260" s="515">
        <v>4.5</v>
      </c>
      <c r="T260" s="516">
        <v>92.5</v>
      </c>
      <c r="U260" s="490">
        <v>6</v>
      </c>
      <c r="V260" s="373"/>
      <c r="W260" s="391" t="s">
        <v>511</v>
      </c>
    </row>
    <row r="261" spans="1:23">
      <c r="A261" s="476" t="s">
        <v>732</v>
      </c>
      <c r="B261" s="542">
        <v>96</v>
      </c>
      <c r="C261" s="543">
        <v>168</v>
      </c>
      <c r="D261" s="543">
        <v>32</v>
      </c>
      <c r="E261" s="544">
        <v>37.6</v>
      </c>
      <c r="F261" s="512"/>
      <c r="G261" s="480"/>
      <c r="H261" s="481"/>
      <c r="I261" s="482"/>
      <c r="J261" s="483">
        <v>23</v>
      </c>
      <c r="K261" s="480">
        <v>3000</v>
      </c>
      <c r="L261" s="481"/>
      <c r="M261" s="482"/>
      <c r="N261" s="483"/>
      <c r="O261" s="513"/>
      <c r="P261" s="514">
        <v>4500</v>
      </c>
      <c r="Q261" s="486">
        <v>114</v>
      </c>
      <c r="R261" s="485">
        <v>0.11</v>
      </c>
      <c r="S261" s="515">
        <v>1</v>
      </c>
      <c r="T261" s="516">
        <v>51.5</v>
      </c>
      <c r="U261" s="490">
        <v>6</v>
      </c>
      <c r="V261" s="373"/>
      <c r="W261" s="391" t="s">
        <v>511</v>
      </c>
    </row>
    <row r="262" spans="1:23">
      <c r="A262" s="476" t="s">
        <v>733</v>
      </c>
      <c r="B262" s="542">
        <v>96</v>
      </c>
      <c r="C262" s="543">
        <v>96</v>
      </c>
      <c r="D262" s="543">
        <v>32</v>
      </c>
      <c r="E262" s="544">
        <v>21.4</v>
      </c>
      <c r="F262" s="512"/>
      <c r="G262" s="480"/>
      <c r="H262" s="481"/>
      <c r="I262" s="482"/>
      <c r="J262" s="483"/>
      <c r="K262" s="480"/>
      <c r="L262" s="481">
        <v>23</v>
      </c>
      <c r="M262" s="482">
        <v>3000</v>
      </c>
      <c r="N262" s="483"/>
      <c r="O262" s="513"/>
      <c r="P262" s="514">
        <v>4500</v>
      </c>
      <c r="Q262" s="486">
        <v>114</v>
      </c>
      <c r="R262" s="485">
        <v>0.31</v>
      </c>
      <c r="S262" s="515">
        <v>3.1</v>
      </c>
      <c r="T262" s="516">
        <v>90.5</v>
      </c>
      <c r="U262" s="490">
        <v>6</v>
      </c>
      <c r="V262" s="373"/>
      <c r="W262" s="391" t="s">
        <v>511</v>
      </c>
    </row>
    <row r="263" spans="1:23">
      <c r="A263" s="476" t="s">
        <v>734</v>
      </c>
      <c r="B263" s="542">
        <v>120</v>
      </c>
      <c r="C263" s="543">
        <v>160</v>
      </c>
      <c r="D263" s="543">
        <v>40</v>
      </c>
      <c r="E263" s="544">
        <v>40</v>
      </c>
      <c r="F263" s="512"/>
      <c r="G263" s="480"/>
      <c r="H263" s="481"/>
      <c r="I263" s="482"/>
      <c r="J263" s="483">
        <v>26</v>
      </c>
      <c r="K263" s="480">
        <v>3000</v>
      </c>
      <c r="L263" s="481"/>
      <c r="M263" s="482"/>
      <c r="N263" s="483"/>
      <c r="O263" s="513"/>
      <c r="P263" s="514">
        <v>4500</v>
      </c>
      <c r="Q263" s="486">
        <v>139</v>
      </c>
      <c r="R263" s="485">
        <v>0.09</v>
      </c>
      <c r="S263" s="515">
        <v>1</v>
      </c>
      <c r="T263" s="516">
        <v>60.5</v>
      </c>
      <c r="U263" s="490">
        <v>6</v>
      </c>
      <c r="V263" s="373"/>
      <c r="W263" s="391" t="s">
        <v>511</v>
      </c>
    </row>
    <row r="264" spans="1:23">
      <c r="A264" s="476" t="s">
        <v>735</v>
      </c>
      <c r="B264" s="542">
        <v>120</v>
      </c>
      <c r="C264" s="543">
        <v>92</v>
      </c>
      <c r="D264" s="543">
        <v>40</v>
      </c>
      <c r="E264" s="544">
        <v>24.2</v>
      </c>
      <c r="F264" s="512"/>
      <c r="G264" s="480"/>
      <c r="H264" s="481"/>
      <c r="I264" s="482"/>
      <c r="J264" s="483"/>
      <c r="K264" s="480"/>
      <c r="L264" s="481">
        <v>26</v>
      </c>
      <c r="M264" s="482">
        <v>3000</v>
      </c>
      <c r="N264" s="483"/>
      <c r="O264" s="513"/>
      <c r="P264" s="514">
        <v>4500</v>
      </c>
      <c r="Q264" s="486">
        <v>139</v>
      </c>
      <c r="R264" s="485">
        <v>0.28000000000000003</v>
      </c>
      <c r="S264" s="515">
        <v>3.1</v>
      </c>
      <c r="T264" s="516">
        <v>100</v>
      </c>
      <c r="U264" s="490">
        <v>6</v>
      </c>
      <c r="V264" s="373"/>
      <c r="W264" s="391" t="s">
        <v>511</v>
      </c>
    </row>
    <row r="265" spans="1:23">
      <c r="A265" s="476" t="s">
        <v>736</v>
      </c>
      <c r="B265" s="542">
        <v>120</v>
      </c>
      <c r="C265" s="543">
        <v>150</v>
      </c>
      <c r="D265" s="543">
        <v>40</v>
      </c>
      <c r="E265" s="544">
        <v>38.4</v>
      </c>
      <c r="F265" s="512"/>
      <c r="G265" s="480"/>
      <c r="H265" s="481"/>
      <c r="I265" s="482"/>
      <c r="J265" s="483">
        <v>30</v>
      </c>
      <c r="K265" s="480">
        <v>3000</v>
      </c>
      <c r="L265" s="481"/>
      <c r="M265" s="482"/>
      <c r="N265" s="483"/>
      <c r="O265" s="513"/>
      <c r="P265" s="514">
        <v>3600</v>
      </c>
      <c r="Q265" s="486">
        <v>76</v>
      </c>
      <c r="R265" s="485">
        <v>0.08</v>
      </c>
      <c r="S265" s="515">
        <v>1.9</v>
      </c>
      <c r="T265" s="516">
        <v>63</v>
      </c>
      <c r="U265" s="490">
        <v>6</v>
      </c>
      <c r="V265" s="373"/>
      <c r="W265" s="391" t="s">
        <v>511</v>
      </c>
    </row>
    <row r="266" spans="1:23">
      <c r="A266" s="476" t="s">
        <v>737</v>
      </c>
      <c r="B266" s="542">
        <v>120</v>
      </c>
      <c r="C266" s="543">
        <v>86</v>
      </c>
      <c r="D266" s="543">
        <v>40</v>
      </c>
      <c r="E266" s="544">
        <v>22</v>
      </c>
      <c r="F266" s="512"/>
      <c r="G266" s="480"/>
      <c r="H266" s="481"/>
      <c r="I266" s="482"/>
      <c r="J266" s="483"/>
      <c r="K266" s="480"/>
      <c r="L266" s="481">
        <v>30</v>
      </c>
      <c r="M266" s="482">
        <v>3000</v>
      </c>
      <c r="N266" s="483"/>
      <c r="O266" s="513"/>
      <c r="P266" s="514">
        <v>3600</v>
      </c>
      <c r="Q266" s="486">
        <v>76</v>
      </c>
      <c r="R266" s="485">
        <v>0.26</v>
      </c>
      <c r="S266" s="515">
        <v>5.6</v>
      </c>
      <c r="T266" s="516">
        <v>110</v>
      </c>
      <c r="U266" s="490">
        <v>6</v>
      </c>
      <c r="V266" s="373"/>
      <c r="W266" s="391" t="s">
        <v>511</v>
      </c>
    </row>
    <row r="267" spans="1:23">
      <c r="A267" s="476" t="s">
        <v>738</v>
      </c>
      <c r="B267" s="542">
        <v>204</v>
      </c>
      <c r="C267" s="543">
        <v>253</v>
      </c>
      <c r="D267" s="543">
        <v>68</v>
      </c>
      <c r="E267" s="544">
        <v>65</v>
      </c>
      <c r="F267" s="512"/>
      <c r="G267" s="480"/>
      <c r="H267" s="481"/>
      <c r="I267" s="482"/>
      <c r="J267" s="483">
        <v>50</v>
      </c>
      <c r="K267" s="480">
        <v>3000</v>
      </c>
      <c r="L267" s="481"/>
      <c r="M267" s="482"/>
      <c r="N267" s="483"/>
      <c r="O267" s="513"/>
      <c r="P267" s="514">
        <v>3600</v>
      </c>
      <c r="Q267" s="486">
        <v>114</v>
      </c>
      <c r="R267" s="485">
        <v>0.04</v>
      </c>
      <c r="S267" s="515">
        <v>1.05</v>
      </c>
      <c r="T267" s="516">
        <v>63.5</v>
      </c>
      <c r="U267" s="490">
        <v>6</v>
      </c>
      <c r="V267" s="373"/>
      <c r="W267" s="391" t="s">
        <v>511</v>
      </c>
    </row>
    <row r="268" spans="1:23">
      <c r="A268" s="476" t="s">
        <v>739</v>
      </c>
      <c r="B268" s="542">
        <v>204</v>
      </c>
      <c r="C268" s="543">
        <v>139</v>
      </c>
      <c r="D268" s="543">
        <v>68</v>
      </c>
      <c r="E268" s="544">
        <v>36</v>
      </c>
      <c r="F268" s="512"/>
      <c r="G268" s="480"/>
      <c r="H268" s="481"/>
      <c r="I268" s="482"/>
      <c r="J268" s="483"/>
      <c r="K268" s="480"/>
      <c r="L268" s="481">
        <v>50</v>
      </c>
      <c r="M268" s="482">
        <v>3000</v>
      </c>
      <c r="N268" s="483"/>
      <c r="O268" s="513"/>
      <c r="P268" s="514">
        <v>3600</v>
      </c>
      <c r="Q268" s="486">
        <v>114</v>
      </c>
      <c r="R268" s="485">
        <v>0.13</v>
      </c>
      <c r="S268" s="515">
        <v>3.2</v>
      </c>
      <c r="T268" s="516">
        <v>115</v>
      </c>
      <c r="U268" s="490">
        <v>6</v>
      </c>
      <c r="V268" s="373"/>
      <c r="W268" s="391" t="s">
        <v>511</v>
      </c>
    </row>
    <row r="269" spans="1:23">
      <c r="A269" s="476" t="s">
        <v>740</v>
      </c>
      <c r="B269" s="542">
        <v>279</v>
      </c>
      <c r="C269" s="543">
        <v>236</v>
      </c>
      <c r="D269" s="543">
        <v>93</v>
      </c>
      <c r="E269" s="544">
        <v>60</v>
      </c>
      <c r="F269" s="512"/>
      <c r="G269" s="480"/>
      <c r="H269" s="481"/>
      <c r="I269" s="482"/>
      <c r="J269" s="483">
        <v>70</v>
      </c>
      <c r="K269" s="480">
        <v>2000</v>
      </c>
      <c r="L269" s="481"/>
      <c r="M269" s="482"/>
      <c r="N269" s="483"/>
      <c r="O269" s="513"/>
      <c r="P269" s="514">
        <v>3600</v>
      </c>
      <c r="Q269" s="486">
        <v>153</v>
      </c>
      <c r="R269" s="485">
        <v>0.05</v>
      </c>
      <c r="S269" s="515">
        <v>1.5</v>
      </c>
      <c r="T269" s="516">
        <v>93</v>
      </c>
      <c r="U269" s="490">
        <v>6</v>
      </c>
      <c r="V269" s="373"/>
      <c r="W269" s="391" t="s">
        <v>511</v>
      </c>
    </row>
    <row r="270" spans="1:23">
      <c r="A270" s="476" t="s">
        <v>741</v>
      </c>
      <c r="B270" s="542">
        <v>279</v>
      </c>
      <c r="C270" s="543">
        <v>130</v>
      </c>
      <c r="D270" s="543">
        <v>93</v>
      </c>
      <c r="E270" s="544">
        <v>34</v>
      </c>
      <c r="F270" s="512"/>
      <c r="G270" s="480"/>
      <c r="H270" s="481"/>
      <c r="I270" s="482"/>
      <c r="J270" s="483"/>
      <c r="K270" s="480"/>
      <c r="L270" s="481">
        <v>70</v>
      </c>
      <c r="M270" s="482">
        <v>2000</v>
      </c>
      <c r="N270" s="483"/>
      <c r="O270" s="513"/>
      <c r="P270" s="514">
        <v>3600</v>
      </c>
      <c r="Q270" s="486">
        <v>153</v>
      </c>
      <c r="R270" s="485">
        <v>0.15</v>
      </c>
      <c r="S270" s="515">
        <v>4.7</v>
      </c>
      <c r="T270" s="516">
        <v>168</v>
      </c>
      <c r="U270" s="490">
        <v>6</v>
      </c>
      <c r="V270" s="373"/>
      <c r="W270" s="391" t="s">
        <v>511</v>
      </c>
    </row>
    <row r="271" spans="1:23">
      <c r="A271" s="476" t="s">
        <v>742</v>
      </c>
      <c r="B271" s="542">
        <v>345</v>
      </c>
      <c r="C271" s="543">
        <v>288</v>
      </c>
      <c r="D271" s="543">
        <v>115</v>
      </c>
      <c r="E271" s="544">
        <v>74</v>
      </c>
      <c r="F271" s="512"/>
      <c r="G271" s="480"/>
      <c r="H271" s="481"/>
      <c r="I271" s="482"/>
      <c r="J271" s="483">
        <v>85</v>
      </c>
      <c r="K271" s="480">
        <v>2000</v>
      </c>
      <c r="L271" s="481"/>
      <c r="M271" s="482"/>
      <c r="N271" s="483"/>
      <c r="O271" s="513"/>
      <c r="P271" s="514">
        <v>3600</v>
      </c>
      <c r="Q271" s="486">
        <v>190</v>
      </c>
      <c r="R271" s="485">
        <v>0.04</v>
      </c>
      <c r="S271" s="515">
        <v>1.1000000000000001</v>
      </c>
      <c r="T271" s="516">
        <v>94</v>
      </c>
      <c r="U271" s="490">
        <v>6</v>
      </c>
      <c r="V271" s="373"/>
      <c r="W271" s="391" t="s">
        <v>511</v>
      </c>
    </row>
    <row r="272" spans="1:23" ht="13.5" thickBot="1">
      <c r="A272" s="408" t="s">
        <v>743</v>
      </c>
      <c r="B272" s="545">
        <v>345</v>
      </c>
      <c r="C272" s="510">
        <v>165</v>
      </c>
      <c r="D272" s="510">
        <v>115</v>
      </c>
      <c r="E272" s="511">
        <v>42</v>
      </c>
      <c r="F272" s="517"/>
      <c r="G272" s="518"/>
      <c r="H272" s="519"/>
      <c r="I272" s="520"/>
      <c r="J272" s="521"/>
      <c r="K272" s="518"/>
      <c r="L272" s="519">
        <v>85</v>
      </c>
      <c r="M272" s="520">
        <v>2000</v>
      </c>
      <c r="N272" s="521"/>
      <c r="O272" s="522"/>
      <c r="P272" s="523">
        <v>3600</v>
      </c>
      <c r="Q272" s="419">
        <v>190</v>
      </c>
      <c r="R272" s="418">
        <v>0.11</v>
      </c>
      <c r="S272" s="524">
        <v>3.2</v>
      </c>
      <c r="T272" s="525">
        <v>164</v>
      </c>
      <c r="U272" s="423">
        <v>6</v>
      </c>
      <c r="V272" s="373"/>
      <c r="W272" s="391" t="s">
        <v>511</v>
      </c>
    </row>
    <row r="273" spans="1:23">
      <c r="A273" s="552" t="s">
        <v>744</v>
      </c>
      <c r="B273" s="553">
        <v>12.3</v>
      </c>
      <c r="C273" s="554">
        <v>8.19</v>
      </c>
      <c r="D273" s="554">
        <v>4.57</v>
      </c>
      <c r="E273" s="555">
        <v>2.73</v>
      </c>
      <c r="F273" s="556"/>
      <c r="G273" s="557"/>
      <c r="H273" s="558"/>
      <c r="I273" s="559"/>
      <c r="J273" s="560">
        <v>4.2344309430620841</v>
      </c>
      <c r="K273" s="557">
        <v>1750</v>
      </c>
      <c r="L273" s="558"/>
      <c r="M273" s="559"/>
      <c r="N273" s="560"/>
      <c r="O273" s="561"/>
      <c r="P273" s="562">
        <v>1750</v>
      </c>
      <c r="Q273" s="563">
        <v>0.58600000000000008</v>
      </c>
      <c r="R273" s="564">
        <v>8.4700000000000006</v>
      </c>
      <c r="S273" s="565">
        <v>34.4</v>
      </c>
      <c r="T273" s="566">
        <v>102</v>
      </c>
      <c r="U273" s="567">
        <v>10</v>
      </c>
      <c r="V273" s="373"/>
      <c r="W273" s="391" t="s">
        <v>511</v>
      </c>
    </row>
    <row r="274" spans="1:23">
      <c r="A274" s="476" t="s">
        <v>745</v>
      </c>
      <c r="B274" s="542">
        <v>12.2</v>
      </c>
      <c r="C274" s="543">
        <v>14.1</v>
      </c>
      <c r="D274" s="543">
        <v>4.51</v>
      </c>
      <c r="E274" s="544">
        <v>4.6900000000000004</v>
      </c>
      <c r="F274" s="512"/>
      <c r="G274" s="480"/>
      <c r="H274" s="481"/>
      <c r="I274" s="482"/>
      <c r="J274" s="483">
        <v>4.0107045659157627</v>
      </c>
      <c r="K274" s="480">
        <v>2500</v>
      </c>
      <c r="L274" s="481"/>
      <c r="M274" s="482"/>
      <c r="N274" s="483"/>
      <c r="O274" s="513"/>
      <c r="P274" s="514">
        <v>2500</v>
      </c>
      <c r="Q274" s="486">
        <v>0.58600000000000008</v>
      </c>
      <c r="R274" s="485">
        <v>2.87</v>
      </c>
      <c r="S274" s="515">
        <v>11.4</v>
      </c>
      <c r="T274" s="516">
        <v>58.7</v>
      </c>
      <c r="U274" s="490">
        <v>10</v>
      </c>
      <c r="V274" s="373"/>
      <c r="W274" s="391" t="s">
        <v>511</v>
      </c>
    </row>
    <row r="275" spans="1:23">
      <c r="A275" s="476" t="s">
        <v>746</v>
      </c>
      <c r="B275" s="542">
        <v>22.2</v>
      </c>
      <c r="C275" s="543">
        <v>14</v>
      </c>
      <c r="D275" s="543">
        <v>8.26</v>
      </c>
      <c r="E275" s="544">
        <v>4.68</v>
      </c>
      <c r="F275" s="512"/>
      <c r="G275" s="480"/>
      <c r="H275" s="481"/>
      <c r="I275" s="482"/>
      <c r="J275" s="483">
        <v>7.4933892029854734</v>
      </c>
      <c r="K275" s="480">
        <v>1700</v>
      </c>
      <c r="L275" s="481"/>
      <c r="M275" s="482"/>
      <c r="N275" s="483"/>
      <c r="O275" s="513"/>
      <c r="P275" s="514">
        <v>1700</v>
      </c>
      <c r="Q275" s="486">
        <v>0.88700000000000001</v>
      </c>
      <c r="R275" s="485">
        <v>3.7</v>
      </c>
      <c r="S275" s="515">
        <v>18.3</v>
      </c>
      <c r="T275" s="516">
        <v>108</v>
      </c>
      <c r="U275" s="490">
        <v>10</v>
      </c>
      <c r="V275" s="373"/>
      <c r="W275" s="391" t="s">
        <v>511</v>
      </c>
    </row>
    <row r="276" spans="1:23">
      <c r="A276" s="476" t="s">
        <v>747</v>
      </c>
      <c r="B276" s="542">
        <v>22.8</v>
      </c>
      <c r="C276" s="543">
        <v>27.6</v>
      </c>
      <c r="D276" s="543">
        <v>8.4600000000000009</v>
      </c>
      <c r="E276" s="544">
        <v>9.19</v>
      </c>
      <c r="F276" s="512"/>
      <c r="G276" s="480"/>
      <c r="H276" s="481"/>
      <c r="I276" s="482"/>
      <c r="J276" s="483">
        <v>7.2612851236246332</v>
      </c>
      <c r="K276" s="480">
        <v>2500</v>
      </c>
      <c r="L276" s="481"/>
      <c r="M276" s="482"/>
      <c r="N276" s="483"/>
      <c r="O276" s="513"/>
      <c r="P276" s="514">
        <v>2500</v>
      </c>
      <c r="Q276" s="486">
        <v>0.88700000000000001</v>
      </c>
      <c r="R276" s="485">
        <v>0.96</v>
      </c>
      <c r="S276" s="515">
        <v>5</v>
      </c>
      <c r="T276" s="516">
        <v>56.1</v>
      </c>
      <c r="U276" s="490">
        <v>10</v>
      </c>
      <c r="V276" s="373"/>
      <c r="W276" s="391" t="s">
        <v>511</v>
      </c>
    </row>
    <row r="277" spans="1:23">
      <c r="A277" s="476" t="s">
        <v>748</v>
      </c>
      <c r="B277" s="542">
        <v>30</v>
      </c>
      <c r="C277" s="543">
        <v>14.2</v>
      </c>
      <c r="D277" s="543">
        <v>11.1</v>
      </c>
      <c r="E277" s="544">
        <v>4.7300000000000004</v>
      </c>
      <c r="F277" s="512"/>
      <c r="G277" s="480"/>
      <c r="H277" s="481"/>
      <c r="I277" s="482"/>
      <c r="J277" s="483">
        <v>10.259764251475941</v>
      </c>
      <c r="K277" s="480">
        <v>1250</v>
      </c>
      <c r="L277" s="481"/>
      <c r="M277" s="482"/>
      <c r="N277" s="483"/>
      <c r="O277" s="513"/>
      <c r="P277" s="514">
        <v>1250</v>
      </c>
      <c r="Q277" s="486">
        <v>1.1900000000000002</v>
      </c>
      <c r="R277" s="485">
        <v>3.97</v>
      </c>
      <c r="S277" s="515">
        <v>20.6</v>
      </c>
      <c r="T277" s="516">
        <v>143</v>
      </c>
      <c r="U277" s="490">
        <v>10</v>
      </c>
      <c r="V277" s="373"/>
      <c r="W277" s="391" t="s">
        <v>511</v>
      </c>
    </row>
    <row r="278" spans="1:23">
      <c r="A278" s="476" t="s">
        <v>749</v>
      </c>
      <c r="B278" s="542">
        <v>30.2</v>
      </c>
      <c r="C278" s="543">
        <v>27.5</v>
      </c>
      <c r="D278" s="543">
        <v>11.2</v>
      </c>
      <c r="E278" s="544">
        <v>9.15</v>
      </c>
      <c r="F278" s="512"/>
      <c r="G278" s="480"/>
      <c r="H278" s="481"/>
      <c r="I278" s="482"/>
      <c r="J278" s="483">
        <v>9.2284402202404596</v>
      </c>
      <c r="K278" s="480">
        <v>2500</v>
      </c>
      <c r="L278" s="481"/>
      <c r="M278" s="482"/>
      <c r="N278" s="483"/>
      <c r="O278" s="513"/>
      <c r="P278" s="514">
        <v>2500</v>
      </c>
      <c r="Q278" s="486">
        <v>1.1900000000000002</v>
      </c>
      <c r="R278" s="485">
        <v>1.06</v>
      </c>
      <c r="S278" s="515">
        <v>5.5</v>
      </c>
      <c r="T278" s="516">
        <v>74.5</v>
      </c>
      <c r="U278" s="490">
        <v>10</v>
      </c>
      <c r="V278" s="373"/>
      <c r="W278" s="391" t="s">
        <v>511</v>
      </c>
    </row>
    <row r="279" spans="1:23">
      <c r="A279" s="476" t="s">
        <v>750</v>
      </c>
      <c r="B279" s="542">
        <v>38.1</v>
      </c>
      <c r="C279" s="543">
        <v>15</v>
      </c>
      <c r="D279" s="543">
        <v>14.1</v>
      </c>
      <c r="E279" s="544">
        <v>5</v>
      </c>
      <c r="F279" s="512"/>
      <c r="G279" s="480"/>
      <c r="H279" s="481"/>
      <c r="I279" s="482"/>
      <c r="J279" s="483">
        <v>13.159840151655576</v>
      </c>
      <c r="K279" s="480">
        <v>1050</v>
      </c>
      <c r="L279" s="481"/>
      <c r="M279" s="482"/>
      <c r="N279" s="483"/>
      <c r="O279" s="513"/>
      <c r="P279" s="514">
        <v>1050</v>
      </c>
      <c r="Q279" s="486">
        <v>1.49</v>
      </c>
      <c r="R279" s="485">
        <v>4.08</v>
      </c>
      <c r="S279" s="515">
        <v>22.1</v>
      </c>
      <c r="T279" s="516">
        <v>173</v>
      </c>
      <c r="U279" s="490">
        <v>10</v>
      </c>
      <c r="V279" s="373"/>
      <c r="W279" s="391" t="s">
        <v>511</v>
      </c>
    </row>
    <row r="280" spans="1:23">
      <c r="A280" s="476" t="s">
        <v>751</v>
      </c>
      <c r="B280" s="542">
        <v>38.799999999999997</v>
      </c>
      <c r="C280" s="543">
        <v>29.3</v>
      </c>
      <c r="D280" s="543">
        <v>14.4</v>
      </c>
      <c r="E280" s="544">
        <v>9.5299999999999994</v>
      </c>
      <c r="F280" s="512"/>
      <c r="G280" s="480"/>
      <c r="H280" s="481"/>
      <c r="I280" s="482"/>
      <c r="J280" s="483">
        <v>12.080970563998754</v>
      </c>
      <c r="K280" s="480">
        <v>2150</v>
      </c>
      <c r="L280" s="481"/>
      <c r="M280" s="482"/>
      <c r="N280" s="483"/>
      <c r="O280" s="513"/>
      <c r="P280" s="514">
        <v>2100</v>
      </c>
      <c r="Q280" s="486">
        <v>1.49</v>
      </c>
      <c r="R280" s="485">
        <v>1.08</v>
      </c>
      <c r="S280" s="515">
        <v>6</v>
      </c>
      <c r="T280" s="516">
        <v>90</v>
      </c>
      <c r="U280" s="490">
        <v>10</v>
      </c>
      <c r="V280" s="373"/>
      <c r="W280" s="391" t="s">
        <v>511</v>
      </c>
    </row>
    <row r="281" spans="1:23">
      <c r="A281" s="476" t="s">
        <v>752</v>
      </c>
      <c r="B281" s="542">
        <v>30</v>
      </c>
      <c r="C281" s="543">
        <v>12.8</v>
      </c>
      <c r="D281" s="543">
        <v>11.7</v>
      </c>
      <c r="E281" s="544">
        <v>4.75</v>
      </c>
      <c r="F281" s="512"/>
      <c r="G281" s="480"/>
      <c r="H281" s="481"/>
      <c r="I281" s="482"/>
      <c r="J281" s="483">
        <v>10.941902337567806</v>
      </c>
      <c r="K281" s="480">
        <v>1200</v>
      </c>
      <c r="L281" s="481"/>
      <c r="M281" s="482"/>
      <c r="N281" s="483"/>
      <c r="O281" s="513"/>
      <c r="P281" s="514">
        <v>1200</v>
      </c>
      <c r="Q281" s="486">
        <v>2.7399999999999998</v>
      </c>
      <c r="R281" s="485">
        <v>4.13</v>
      </c>
      <c r="S281" s="515">
        <v>24</v>
      </c>
      <c r="T281" s="516">
        <v>151</v>
      </c>
      <c r="U281" s="490">
        <v>10</v>
      </c>
      <c r="V281" s="373"/>
      <c r="W281" s="391" t="s">
        <v>511</v>
      </c>
    </row>
    <row r="282" spans="1:23">
      <c r="A282" s="476" t="s">
        <v>753</v>
      </c>
      <c r="B282" s="542">
        <v>30.5</v>
      </c>
      <c r="C282" s="543">
        <v>25.1</v>
      </c>
      <c r="D282" s="543">
        <v>11.8</v>
      </c>
      <c r="E282" s="544">
        <v>9.2899999999999991</v>
      </c>
      <c r="F282" s="512"/>
      <c r="G282" s="480"/>
      <c r="H282" s="481"/>
      <c r="I282" s="482"/>
      <c r="J282" s="483">
        <v>10.161231101401743</v>
      </c>
      <c r="K282" s="480">
        <v>2450</v>
      </c>
      <c r="L282" s="481"/>
      <c r="M282" s="482"/>
      <c r="N282" s="483"/>
      <c r="O282" s="513"/>
      <c r="P282" s="514">
        <v>2450</v>
      </c>
      <c r="Q282" s="486">
        <v>2.7399999999999998</v>
      </c>
      <c r="R282" s="485">
        <v>1.08</v>
      </c>
      <c r="S282" s="515">
        <v>6.4</v>
      </c>
      <c r="T282" s="516">
        <v>78</v>
      </c>
      <c r="U282" s="490">
        <v>10</v>
      </c>
      <c r="V282" s="373"/>
      <c r="W282" s="391" t="s">
        <v>511</v>
      </c>
    </row>
    <row r="283" spans="1:23">
      <c r="A283" s="476" t="s">
        <v>754</v>
      </c>
      <c r="B283" s="542">
        <v>26.6</v>
      </c>
      <c r="C283" s="543">
        <v>43.1</v>
      </c>
      <c r="D283" s="543">
        <v>16.8</v>
      </c>
      <c r="E283" s="544">
        <v>9.84</v>
      </c>
      <c r="F283" s="512"/>
      <c r="G283" s="480"/>
      <c r="H283" s="481"/>
      <c r="I283" s="482"/>
      <c r="J283" s="483">
        <v>14.907226237277634</v>
      </c>
      <c r="K283" s="480">
        <v>1850</v>
      </c>
      <c r="L283" s="481"/>
      <c r="M283" s="482"/>
      <c r="N283" s="483"/>
      <c r="O283" s="513"/>
      <c r="P283" s="514">
        <v>1850</v>
      </c>
      <c r="Q283" s="486">
        <v>3.59</v>
      </c>
      <c r="R283" s="485">
        <v>1.1399999999999999</v>
      </c>
      <c r="S283" s="515">
        <v>7</v>
      </c>
      <c r="T283" s="516">
        <v>105</v>
      </c>
      <c r="U283" s="490">
        <v>10</v>
      </c>
      <c r="V283" s="373"/>
      <c r="W283" s="391" t="s">
        <v>511</v>
      </c>
    </row>
    <row r="284" spans="1:23">
      <c r="A284" s="476" t="s">
        <v>755</v>
      </c>
      <c r="B284" s="542">
        <v>42.4</v>
      </c>
      <c r="C284" s="543">
        <v>36.5</v>
      </c>
      <c r="D284" s="543">
        <v>16.5</v>
      </c>
      <c r="E284" s="544">
        <v>13.5</v>
      </c>
      <c r="F284" s="512"/>
      <c r="G284" s="480"/>
      <c r="H284" s="481"/>
      <c r="I284" s="482"/>
      <c r="J284" s="483">
        <v>13.819742018555456</v>
      </c>
      <c r="K284" s="480">
        <v>2500</v>
      </c>
      <c r="L284" s="481"/>
      <c r="M284" s="482"/>
      <c r="N284" s="483"/>
      <c r="O284" s="513"/>
      <c r="P284" s="514">
        <v>2500</v>
      </c>
      <c r="Q284" s="486">
        <v>3.59</v>
      </c>
      <c r="R284" s="485">
        <v>0.61</v>
      </c>
      <c r="S284" s="515">
        <v>3.7</v>
      </c>
      <c r="T284" s="516">
        <v>75.400000000000006</v>
      </c>
      <c r="U284" s="490">
        <v>10</v>
      </c>
      <c r="V284" s="373"/>
      <c r="W284" s="391" t="s">
        <v>511</v>
      </c>
    </row>
    <row r="285" spans="1:23">
      <c r="A285" s="476" t="s">
        <v>756</v>
      </c>
      <c r="B285" s="542">
        <v>43.1</v>
      </c>
      <c r="C285" s="543">
        <v>15.5</v>
      </c>
      <c r="D285" s="543">
        <v>16.899999999999999</v>
      </c>
      <c r="E285" s="544">
        <v>5.74</v>
      </c>
      <c r="F285" s="512"/>
      <c r="G285" s="480"/>
      <c r="H285" s="481"/>
      <c r="I285" s="482"/>
      <c r="J285" s="483">
        <v>5.6263423125459218</v>
      </c>
      <c r="K285" s="480">
        <v>1850</v>
      </c>
      <c r="L285" s="481"/>
      <c r="M285" s="482"/>
      <c r="N285" s="483"/>
      <c r="O285" s="513"/>
      <c r="P285" s="514">
        <v>950</v>
      </c>
      <c r="Q285" s="486">
        <v>3.59</v>
      </c>
      <c r="R285" s="485">
        <v>3.36</v>
      </c>
      <c r="S285" s="515">
        <v>90</v>
      </c>
      <c r="T285" s="516">
        <v>181</v>
      </c>
      <c r="U285" s="490">
        <v>10</v>
      </c>
      <c r="V285" s="373"/>
      <c r="W285" s="391" t="s">
        <v>511</v>
      </c>
    </row>
    <row r="286" spans="1:23">
      <c r="A286" s="476" t="s">
        <v>757</v>
      </c>
      <c r="B286" s="542">
        <v>42.3</v>
      </c>
      <c r="C286" s="543">
        <v>29.6</v>
      </c>
      <c r="D286" s="543">
        <v>16.5</v>
      </c>
      <c r="E286" s="544">
        <v>10.9</v>
      </c>
      <c r="F286" s="512"/>
      <c r="G286" s="480"/>
      <c r="H286" s="481"/>
      <c r="I286" s="482"/>
      <c r="J286" s="483">
        <v>14.207490041861877</v>
      </c>
      <c r="K286" s="480">
        <v>2050</v>
      </c>
      <c r="L286" s="481"/>
      <c r="M286" s="482"/>
      <c r="N286" s="483"/>
      <c r="O286" s="513"/>
      <c r="P286" s="514">
        <v>2050</v>
      </c>
      <c r="Q286" s="486">
        <v>3.59</v>
      </c>
      <c r="R286" s="485">
        <v>0.94</v>
      </c>
      <c r="S286" s="515">
        <v>5.59</v>
      </c>
      <c r="T286" s="516">
        <v>92.7</v>
      </c>
      <c r="U286" s="490">
        <v>10</v>
      </c>
      <c r="V286" s="373"/>
      <c r="W286" s="391" t="s">
        <v>511</v>
      </c>
    </row>
    <row r="287" spans="1:23">
      <c r="A287" s="476" t="s">
        <v>758</v>
      </c>
      <c r="B287" s="542">
        <v>53.7</v>
      </c>
      <c r="C287" s="543">
        <v>24.9</v>
      </c>
      <c r="D287" s="543">
        <v>20.9</v>
      </c>
      <c r="E287" s="544">
        <v>9.2100000000000009</v>
      </c>
      <c r="F287" s="512"/>
      <c r="G287" s="480"/>
      <c r="H287" s="481"/>
      <c r="I287" s="482"/>
      <c r="J287" s="483">
        <v>18.971269216553925</v>
      </c>
      <c r="K287" s="480">
        <v>1350</v>
      </c>
      <c r="L287" s="481"/>
      <c r="M287" s="482"/>
      <c r="N287" s="483"/>
      <c r="O287" s="513"/>
      <c r="P287" s="514">
        <v>1350</v>
      </c>
      <c r="Q287" s="486">
        <v>4.43</v>
      </c>
      <c r="R287" s="485">
        <v>1.41</v>
      </c>
      <c r="S287" s="515">
        <v>9.1</v>
      </c>
      <c r="T287" s="516">
        <v>139</v>
      </c>
      <c r="U287" s="490">
        <v>10</v>
      </c>
      <c r="V287" s="373"/>
      <c r="W287" s="391" t="s">
        <v>511</v>
      </c>
    </row>
    <row r="288" spans="1:23">
      <c r="A288" s="476" t="s">
        <v>759</v>
      </c>
      <c r="B288" s="542">
        <v>51.4</v>
      </c>
      <c r="C288" s="543">
        <v>49.2</v>
      </c>
      <c r="D288" s="543">
        <v>20</v>
      </c>
      <c r="E288" s="544">
        <v>18.2</v>
      </c>
      <c r="F288" s="512"/>
      <c r="G288" s="480"/>
      <c r="H288" s="481"/>
      <c r="I288" s="482"/>
      <c r="J288" s="483">
        <v>16.123032354981365</v>
      </c>
      <c r="K288" s="480">
        <v>2500</v>
      </c>
      <c r="L288" s="481"/>
      <c r="M288" s="482"/>
      <c r="N288" s="483"/>
      <c r="O288" s="513"/>
      <c r="P288" s="514">
        <v>2500</v>
      </c>
      <c r="Q288" s="486">
        <v>4.43</v>
      </c>
      <c r="R288" s="485">
        <v>0.36</v>
      </c>
      <c r="S288" s="515">
        <v>2.2000000000000002</v>
      </c>
      <c r="T288" s="516">
        <v>67.400000000000006</v>
      </c>
      <c r="U288" s="490">
        <v>10</v>
      </c>
      <c r="V288" s="373"/>
      <c r="W288" s="391" t="s">
        <v>511</v>
      </c>
    </row>
    <row r="289" spans="1:23">
      <c r="A289" s="476" t="s">
        <v>760</v>
      </c>
      <c r="B289" s="542">
        <v>63.5</v>
      </c>
      <c r="C289" s="543">
        <v>26.4</v>
      </c>
      <c r="D289" s="543">
        <v>24.8</v>
      </c>
      <c r="E289" s="544">
        <v>9.7899999999999991</v>
      </c>
      <c r="F289" s="512"/>
      <c r="G289" s="480"/>
      <c r="H289" s="481"/>
      <c r="I289" s="482"/>
      <c r="J289" s="483">
        <v>22.631832907667519</v>
      </c>
      <c r="K289" s="480">
        <v>1200</v>
      </c>
      <c r="L289" s="481"/>
      <c r="M289" s="482"/>
      <c r="N289" s="483"/>
      <c r="O289" s="513"/>
      <c r="P289" s="514">
        <v>1200</v>
      </c>
      <c r="Q289" s="486">
        <v>5.28</v>
      </c>
      <c r="R289" s="485">
        <v>1.35</v>
      </c>
      <c r="S289" s="515">
        <v>9</v>
      </c>
      <c r="T289" s="516">
        <v>156</v>
      </c>
      <c r="U289" s="490">
        <v>10</v>
      </c>
      <c r="V289" s="373"/>
      <c r="W289" s="391" t="s">
        <v>511</v>
      </c>
    </row>
    <row r="290" spans="1:23">
      <c r="A290" s="476" t="s">
        <v>761</v>
      </c>
      <c r="B290" s="542">
        <v>60.9</v>
      </c>
      <c r="C290" s="543">
        <v>46.8</v>
      </c>
      <c r="D290" s="543">
        <v>24</v>
      </c>
      <c r="E290" s="544">
        <v>17.399999999999999</v>
      </c>
      <c r="F290" s="512"/>
      <c r="G290" s="480"/>
      <c r="H290" s="481"/>
      <c r="I290" s="482"/>
      <c r="J290" s="483">
        <v>18.692240124835369</v>
      </c>
      <c r="K290" s="480">
        <v>2350</v>
      </c>
      <c r="L290" s="481"/>
      <c r="M290" s="482"/>
      <c r="N290" s="483"/>
      <c r="O290" s="513"/>
      <c r="P290" s="514">
        <v>2300</v>
      </c>
      <c r="Q290" s="486">
        <v>5.28</v>
      </c>
      <c r="R290" s="485">
        <v>0.43</v>
      </c>
      <c r="S290" s="515">
        <v>2.7</v>
      </c>
      <c r="T290" s="516">
        <v>84.3</v>
      </c>
      <c r="U290" s="490">
        <v>10</v>
      </c>
      <c r="V290" s="373"/>
      <c r="W290" s="391" t="s">
        <v>511</v>
      </c>
    </row>
    <row r="291" spans="1:23">
      <c r="A291" s="476" t="s">
        <v>762</v>
      </c>
      <c r="B291" s="542">
        <v>85.7</v>
      </c>
      <c r="C291" s="543">
        <v>26.7</v>
      </c>
      <c r="D291" s="543">
        <v>33.4</v>
      </c>
      <c r="E291" s="544">
        <v>9.89</v>
      </c>
      <c r="F291" s="512"/>
      <c r="G291" s="480"/>
      <c r="H291" s="481"/>
      <c r="I291" s="482"/>
      <c r="J291" s="483">
        <v>31.300472141406086</v>
      </c>
      <c r="K291" s="480">
        <v>900</v>
      </c>
      <c r="L291" s="481"/>
      <c r="M291" s="482"/>
      <c r="N291" s="483"/>
      <c r="O291" s="513"/>
      <c r="P291" s="514">
        <v>900</v>
      </c>
      <c r="Q291" s="486">
        <v>9.41</v>
      </c>
      <c r="R291" s="485">
        <v>1.36</v>
      </c>
      <c r="S291" s="515">
        <v>18.100000000000001</v>
      </c>
      <c r="T291" s="516">
        <v>206</v>
      </c>
      <c r="U291" s="490">
        <v>10</v>
      </c>
      <c r="V291" s="373"/>
      <c r="W291" s="391" t="s">
        <v>511</v>
      </c>
    </row>
    <row r="292" spans="1:23">
      <c r="A292" s="476" t="s">
        <v>763</v>
      </c>
      <c r="B292" s="542">
        <v>83</v>
      </c>
      <c r="C292" s="543">
        <v>52.7</v>
      </c>
      <c r="D292" s="543">
        <v>32.299999999999997</v>
      </c>
      <c r="E292" s="544">
        <v>19.5</v>
      </c>
      <c r="F292" s="512"/>
      <c r="G292" s="480"/>
      <c r="H292" s="481"/>
      <c r="I292" s="482"/>
      <c r="J292" s="483">
        <v>26.963295897353099</v>
      </c>
      <c r="K292" s="480">
        <v>1950</v>
      </c>
      <c r="L292" s="481"/>
      <c r="M292" s="482"/>
      <c r="N292" s="483"/>
      <c r="O292" s="513"/>
      <c r="P292" s="514">
        <v>1950</v>
      </c>
      <c r="Q292" s="486">
        <v>9.41</v>
      </c>
      <c r="R292" s="485">
        <v>0.35</v>
      </c>
      <c r="S292" s="515">
        <v>4.3</v>
      </c>
      <c r="T292" s="516">
        <v>101</v>
      </c>
      <c r="U292" s="490">
        <v>10</v>
      </c>
      <c r="V292" s="373"/>
      <c r="W292" s="391" t="s">
        <v>511</v>
      </c>
    </row>
    <row r="293" spans="1:23">
      <c r="A293" s="476" t="s">
        <v>764</v>
      </c>
      <c r="B293" s="542">
        <v>121.5</v>
      </c>
      <c r="C293" s="543">
        <v>39.299999999999997</v>
      </c>
      <c r="D293" s="543">
        <v>47.3</v>
      </c>
      <c r="E293" s="544">
        <v>14.6</v>
      </c>
      <c r="F293" s="512"/>
      <c r="G293" s="480"/>
      <c r="H293" s="481"/>
      <c r="I293" s="482"/>
      <c r="J293" s="483">
        <v>43.635259450226378</v>
      </c>
      <c r="K293" s="480">
        <v>950</v>
      </c>
      <c r="L293" s="481"/>
      <c r="M293" s="482"/>
      <c r="N293" s="483"/>
      <c r="O293" s="513"/>
      <c r="P293" s="514">
        <v>950</v>
      </c>
      <c r="Q293" s="486">
        <v>12.6</v>
      </c>
      <c r="R293" s="485">
        <v>0.76</v>
      </c>
      <c r="S293" s="515">
        <v>11.1</v>
      </c>
      <c r="T293" s="516">
        <v>198</v>
      </c>
      <c r="U293" s="490">
        <v>10</v>
      </c>
      <c r="V293" s="373"/>
      <c r="W293" s="391" t="s">
        <v>511</v>
      </c>
    </row>
    <row r="294" spans="1:23">
      <c r="A294" s="476" t="s">
        <v>765</v>
      </c>
      <c r="B294" s="542">
        <v>117.8</v>
      </c>
      <c r="C294" s="543">
        <v>55.5</v>
      </c>
      <c r="D294" s="543">
        <v>46</v>
      </c>
      <c r="E294" s="544">
        <v>20.6</v>
      </c>
      <c r="F294" s="512"/>
      <c r="G294" s="480"/>
      <c r="H294" s="481"/>
      <c r="I294" s="482"/>
      <c r="J294" s="483">
        <v>39.843616787833106</v>
      </c>
      <c r="K294" s="480">
        <v>1450</v>
      </c>
      <c r="L294" s="481"/>
      <c r="M294" s="482"/>
      <c r="N294" s="483"/>
      <c r="O294" s="513"/>
      <c r="P294" s="514">
        <v>1450</v>
      </c>
      <c r="Q294" s="486">
        <v>12.6</v>
      </c>
      <c r="R294" s="485">
        <v>0.38</v>
      </c>
      <c r="S294" s="515">
        <v>5.2</v>
      </c>
      <c r="T294" s="516">
        <v>136</v>
      </c>
      <c r="U294" s="490">
        <v>10</v>
      </c>
      <c r="V294" s="373"/>
      <c r="W294" s="391" t="s">
        <v>511</v>
      </c>
    </row>
    <row r="295" spans="1:23">
      <c r="A295" s="476" t="s">
        <v>766</v>
      </c>
      <c r="B295" s="542">
        <v>124.2</v>
      </c>
      <c r="C295" s="543">
        <v>31.8</v>
      </c>
      <c r="D295" s="543">
        <v>48.4</v>
      </c>
      <c r="E295" s="544">
        <v>11.8</v>
      </c>
      <c r="F295" s="512"/>
      <c r="G295" s="480"/>
      <c r="H295" s="481"/>
      <c r="I295" s="482"/>
      <c r="J295" s="483">
        <v>44.745275429264296</v>
      </c>
      <c r="K295" s="480">
        <v>700</v>
      </c>
      <c r="L295" s="481"/>
      <c r="M295" s="482"/>
      <c r="N295" s="483"/>
      <c r="O295" s="513"/>
      <c r="P295" s="514">
        <v>700</v>
      </c>
      <c r="Q295" s="486">
        <v>12.6</v>
      </c>
      <c r="R295" s="485">
        <v>1.19</v>
      </c>
      <c r="S295" s="515">
        <v>17.8</v>
      </c>
      <c r="T295" s="516">
        <v>250.4</v>
      </c>
      <c r="U295" s="490">
        <v>10</v>
      </c>
      <c r="V295" s="373"/>
      <c r="W295" s="391" t="s">
        <v>511</v>
      </c>
    </row>
    <row r="296" spans="1:23">
      <c r="A296" s="476" t="s">
        <v>767</v>
      </c>
      <c r="B296" s="542">
        <v>154.4</v>
      </c>
      <c r="C296" s="543">
        <v>37.5</v>
      </c>
      <c r="D296" s="543">
        <v>60.2</v>
      </c>
      <c r="E296" s="544">
        <v>13.9</v>
      </c>
      <c r="F296" s="512"/>
      <c r="G296" s="480"/>
      <c r="H296" s="481"/>
      <c r="I296" s="482"/>
      <c r="J296" s="483">
        <v>56.231715036410804</v>
      </c>
      <c r="K296" s="480">
        <v>700</v>
      </c>
      <c r="L296" s="481"/>
      <c r="M296" s="482"/>
      <c r="N296" s="483"/>
      <c r="O296" s="513"/>
      <c r="P296" s="514">
        <v>700</v>
      </c>
      <c r="Q296" s="486">
        <v>15.7</v>
      </c>
      <c r="R296" s="485">
        <v>0.93</v>
      </c>
      <c r="S296" s="515">
        <v>14.4</v>
      </c>
      <c r="T296" s="516">
        <v>264</v>
      </c>
      <c r="U296" s="490">
        <v>10</v>
      </c>
      <c r="V296" s="373"/>
      <c r="W296" s="391" t="s">
        <v>511</v>
      </c>
    </row>
    <row r="297" spans="1:23">
      <c r="A297" s="476" t="s">
        <v>768</v>
      </c>
      <c r="B297" s="542">
        <v>149</v>
      </c>
      <c r="C297" s="543">
        <v>52.8</v>
      </c>
      <c r="D297" s="543">
        <v>59</v>
      </c>
      <c r="E297" s="544">
        <v>19.8</v>
      </c>
      <c r="F297" s="512"/>
      <c r="G297" s="480"/>
      <c r="H297" s="481"/>
      <c r="I297" s="482"/>
      <c r="J297" s="483">
        <v>52.313537816292559</v>
      </c>
      <c r="K297" s="480">
        <v>1150</v>
      </c>
      <c r="L297" s="481"/>
      <c r="M297" s="482"/>
      <c r="N297" s="483"/>
      <c r="O297" s="513"/>
      <c r="P297" s="514">
        <v>1150</v>
      </c>
      <c r="Q297" s="486">
        <v>15.7</v>
      </c>
      <c r="R297" s="485">
        <v>0.47</v>
      </c>
      <c r="S297" s="515">
        <v>7.1</v>
      </c>
      <c r="T297" s="516">
        <v>181</v>
      </c>
      <c r="U297" s="490">
        <v>10</v>
      </c>
      <c r="V297" s="373"/>
      <c r="W297" s="391" t="s">
        <v>511</v>
      </c>
    </row>
    <row r="298" spans="1:23">
      <c r="A298" s="476" t="s">
        <v>769</v>
      </c>
      <c r="B298" s="542">
        <v>158.9</v>
      </c>
      <c r="C298" s="543">
        <v>30.5</v>
      </c>
      <c r="D298" s="543">
        <v>61.8</v>
      </c>
      <c r="E298" s="544">
        <v>11.3</v>
      </c>
      <c r="F298" s="512"/>
      <c r="G298" s="480"/>
      <c r="H298" s="481"/>
      <c r="I298" s="482"/>
      <c r="J298" s="483">
        <v>58.163897384492664</v>
      </c>
      <c r="K298" s="480">
        <v>550</v>
      </c>
      <c r="L298" s="481"/>
      <c r="M298" s="482"/>
      <c r="N298" s="483"/>
      <c r="O298" s="513"/>
      <c r="P298" s="514">
        <v>550</v>
      </c>
      <c r="Q298" s="486">
        <v>15.7</v>
      </c>
      <c r="R298" s="485">
        <v>1.45</v>
      </c>
      <c r="S298" s="515">
        <v>23.1</v>
      </c>
      <c r="T298" s="516">
        <v>333.8</v>
      </c>
      <c r="U298" s="490">
        <v>10</v>
      </c>
      <c r="V298" s="373"/>
      <c r="W298" s="391" t="s">
        <v>511</v>
      </c>
    </row>
    <row r="299" spans="1:23">
      <c r="A299" s="476" t="s">
        <v>770</v>
      </c>
      <c r="B299" s="542">
        <v>120</v>
      </c>
      <c r="C299" s="543">
        <v>40</v>
      </c>
      <c r="D299" s="543">
        <v>50</v>
      </c>
      <c r="E299" s="544">
        <v>12.8</v>
      </c>
      <c r="F299" s="512"/>
      <c r="G299" s="480"/>
      <c r="H299" s="481"/>
      <c r="I299" s="482"/>
      <c r="J299" s="483">
        <v>42.016904976260371</v>
      </c>
      <c r="K299" s="480">
        <v>600</v>
      </c>
      <c r="L299" s="481"/>
      <c r="M299" s="482"/>
      <c r="N299" s="483"/>
      <c r="O299" s="513"/>
      <c r="P299" s="514">
        <v>600</v>
      </c>
      <c r="Q299" s="486">
        <v>28</v>
      </c>
      <c r="R299" s="485">
        <v>0.91600000000000004</v>
      </c>
      <c r="S299" s="515">
        <v>7.8</v>
      </c>
      <c r="T299" s="516">
        <v>244</v>
      </c>
      <c r="U299" s="490">
        <v>38</v>
      </c>
      <c r="V299" s="373"/>
      <c r="W299" s="391" t="s">
        <v>511</v>
      </c>
    </row>
    <row r="300" spans="1:23">
      <c r="A300" s="476" t="s">
        <v>771</v>
      </c>
      <c r="B300" s="542">
        <v>227</v>
      </c>
      <c r="C300" s="543">
        <v>40</v>
      </c>
      <c r="D300" s="543">
        <v>101</v>
      </c>
      <c r="E300" s="544">
        <v>15.3</v>
      </c>
      <c r="F300" s="512"/>
      <c r="G300" s="480"/>
      <c r="H300" s="481"/>
      <c r="I300" s="482"/>
      <c r="J300" s="483">
        <v>89.524655489191119</v>
      </c>
      <c r="K300" s="480">
        <v>400</v>
      </c>
      <c r="L300" s="481"/>
      <c r="M300" s="482"/>
      <c r="N300" s="483"/>
      <c r="O300" s="513"/>
      <c r="P300" s="514">
        <v>400</v>
      </c>
      <c r="Q300" s="486">
        <v>47</v>
      </c>
      <c r="R300" s="485">
        <v>0.92100000000000004</v>
      </c>
      <c r="S300" s="515">
        <v>11</v>
      </c>
      <c r="T300" s="516">
        <v>441</v>
      </c>
      <c r="U300" s="490">
        <v>38</v>
      </c>
      <c r="V300" s="373"/>
      <c r="W300" s="391" t="s">
        <v>511</v>
      </c>
    </row>
    <row r="301" spans="1:23">
      <c r="A301" s="476" t="s">
        <v>772</v>
      </c>
      <c r="B301" s="542">
        <v>231.2</v>
      </c>
      <c r="C301" s="543">
        <v>48</v>
      </c>
      <c r="D301" s="543">
        <v>101.6</v>
      </c>
      <c r="E301" s="544">
        <v>18.100000000000001</v>
      </c>
      <c r="F301" s="512"/>
      <c r="G301" s="480"/>
      <c r="H301" s="481"/>
      <c r="I301" s="482"/>
      <c r="J301" s="483">
        <v>87.004702223569467</v>
      </c>
      <c r="K301" s="480">
        <v>450</v>
      </c>
      <c r="L301" s="481"/>
      <c r="M301" s="482"/>
      <c r="N301" s="483"/>
      <c r="O301" s="513"/>
      <c r="P301" s="514">
        <v>450</v>
      </c>
      <c r="Q301" s="486">
        <v>47</v>
      </c>
      <c r="R301" s="485">
        <v>0.64</v>
      </c>
      <c r="S301" s="515">
        <v>7.35</v>
      </c>
      <c r="T301" s="516">
        <v>343</v>
      </c>
      <c r="U301" s="490">
        <v>38</v>
      </c>
      <c r="V301" s="373"/>
      <c r="W301" s="391" t="s">
        <v>511</v>
      </c>
    </row>
    <row r="302" spans="1:23">
      <c r="A302" s="476" t="s">
        <v>773</v>
      </c>
      <c r="B302" s="542">
        <v>309</v>
      </c>
      <c r="C302" s="543">
        <v>40</v>
      </c>
      <c r="D302" s="543">
        <v>145</v>
      </c>
      <c r="E302" s="544">
        <v>15.5</v>
      </c>
      <c r="F302" s="512"/>
      <c r="G302" s="480"/>
      <c r="H302" s="481"/>
      <c r="I302" s="482"/>
      <c r="J302" s="483">
        <v>132.09860276627313</v>
      </c>
      <c r="K302" s="480">
        <v>300</v>
      </c>
      <c r="L302" s="481"/>
      <c r="M302" s="482"/>
      <c r="N302" s="483"/>
      <c r="O302" s="513"/>
      <c r="P302" s="514">
        <v>300</v>
      </c>
      <c r="Q302" s="486">
        <v>66</v>
      </c>
      <c r="R302" s="485">
        <v>0.86699999999999999</v>
      </c>
      <c r="S302" s="515">
        <v>11</v>
      </c>
      <c r="T302" s="516">
        <v>517</v>
      </c>
      <c r="U302" s="490">
        <v>38</v>
      </c>
      <c r="V302" s="373"/>
      <c r="W302" s="391" t="s">
        <v>511</v>
      </c>
    </row>
    <row r="303" spans="1:23">
      <c r="A303" s="476" t="s">
        <v>774</v>
      </c>
      <c r="B303" s="542">
        <v>316.60000000000002</v>
      </c>
      <c r="C303" s="543">
        <v>48</v>
      </c>
      <c r="D303" s="543">
        <v>139.4</v>
      </c>
      <c r="E303" s="544">
        <v>20</v>
      </c>
      <c r="F303" s="512"/>
      <c r="G303" s="480"/>
      <c r="H303" s="481"/>
      <c r="I303" s="482"/>
      <c r="J303" s="483">
        <v>128.50624833648465</v>
      </c>
      <c r="K303" s="480">
        <v>350</v>
      </c>
      <c r="L303" s="481"/>
      <c r="M303" s="482"/>
      <c r="N303" s="483"/>
      <c r="O303" s="513"/>
      <c r="P303" s="514">
        <v>350</v>
      </c>
      <c r="Q303" s="486">
        <v>66</v>
      </c>
      <c r="R303" s="485">
        <v>0.59</v>
      </c>
      <c r="S303" s="515">
        <v>7.54</v>
      </c>
      <c r="T303" s="516">
        <v>426</v>
      </c>
      <c r="U303" s="490">
        <v>38</v>
      </c>
      <c r="V303" s="373"/>
      <c r="W303" s="391" t="s">
        <v>511</v>
      </c>
    </row>
    <row r="304" spans="1:23">
      <c r="A304" s="476" t="s">
        <v>775</v>
      </c>
      <c r="B304" s="542">
        <v>389</v>
      </c>
      <c r="C304" s="543">
        <v>40</v>
      </c>
      <c r="D304" s="543">
        <v>188</v>
      </c>
      <c r="E304" s="544">
        <v>13.8</v>
      </c>
      <c r="F304" s="512"/>
      <c r="G304" s="480"/>
      <c r="H304" s="481"/>
      <c r="I304" s="482"/>
      <c r="J304" s="483">
        <v>168.91644626819826</v>
      </c>
      <c r="K304" s="480">
        <v>225</v>
      </c>
      <c r="L304" s="481"/>
      <c r="M304" s="482"/>
      <c r="N304" s="483"/>
      <c r="O304" s="513"/>
      <c r="P304" s="514">
        <v>225</v>
      </c>
      <c r="Q304" s="486">
        <v>123</v>
      </c>
      <c r="R304" s="485">
        <v>0.93</v>
      </c>
      <c r="S304" s="515">
        <v>13</v>
      </c>
      <c r="T304" s="516">
        <v>738</v>
      </c>
      <c r="U304" s="490">
        <v>46</v>
      </c>
      <c r="V304" s="373"/>
      <c r="W304" s="391" t="s">
        <v>511</v>
      </c>
    </row>
    <row r="305" spans="1:23">
      <c r="A305" s="476" t="s">
        <v>776</v>
      </c>
      <c r="B305" s="542">
        <v>396</v>
      </c>
      <c r="C305" s="543">
        <v>75.400000000000006</v>
      </c>
      <c r="D305" s="543">
        <v>190</v>
      </c>
      <c r="E305" s="544">
        <v>25.9</v>
      </c>
      <c r="F305" s="512"/>
      <c r="G305" s="480"/>
      <c r="H305" s="481"/>
      <c r="I305" s="482"/>
      <c r="J305" s="483">
        <v>133.26573901561372</v>
      </c>
      <c r="K305" s="480">
        <v>450</v>
      </c>
      <c r="L305" s="481"/>
      <c r="M305" s="482"/>
      <c r="N305" s="483"/>
      <c r="O305" s="513"/>
      <c r="P305" s="514">
        <v>450</v>
      </c>
      <c r="Q305" s="486">
        <v>123</v>
      </c>
      <c r="R305" s="485">
        <v>0.26100000000000001</v>
      </c>
      <c r="S305" s="515">
        <v>3.6</v>
      </c>
      <c r="T305" s="516">
        <v>398</v>
      </c>
      <c r="U305" s="490">
        <v>46</v>
      </c>
      <c r="V305" s="373"/>
      <c r="W305" s="391" t="s">
        <v>511</v>
      </c>
    </row>
    <row r="306" spans="1:23">
      <c r="A306" s="476" t="s">
        <v>777</v>
      </c>
      <c r="B306" s="542">
        <v>394.5</v>
      </c>
      <c r="C306" s="543">
        <v>48</v>
      </c>
      <c r="D306" s="543">
        <v>188.8</v>
      </c>
      <c r="E306" s="544">
        <v>18.8</v>
      </c>
      <c r="F306" s="512"/>
      <c r="G306" s="480"/>
      <c r="H306" s="481"/>
      <c r="I306" s="482"/>
      <c r="J306" s="483">
        <v>166.15776058793875</v>
      </c>
      <c r="K306" s="480">
        <v>250</v>
      </c>
      <c r="L306" s="481"/>
      <c r="M306" s="482"/>
      <c r="N306" s="483"/>
      <c r="O306" s="513"/>
      <c r="P306" s="514">
        <v>250</v>
      </c>
      <c r="Q306" s="486">
        <v>123</v>
      </c>
      <c r="R306" s="485">
        <v>0.65</v>
      </c>
      <c r="S306" s="515">
        <v>8.67</v>
      </c>
      <c r="T306" s="516">
        <v>617</v>
      </c>
      <c r="U306" s="490">
        <v>46</v>
      </c>
      <c r="V306" s="373"/>
      <c r="W306" s="391" t="s">
        <v>511</v>
      </c>
    </row>
    <row r="307" spans="1:23">
      <c r="A307" s="476" t="s">
        <v>778</v>
      </c>
      <c r="B307" s="542">
        <v>836</v>
      </c>
      <c r="C307" s="543">
        <v>40</v>
      </c>
      <c r="D307" s="543">
        <v>361</v>
      </c>
      <c r="E307" s="544">
        <v>12.4</v>
      </c>
      <c r="F307" s="512"/>
      <c r="G307" s="480"/>
      <c r="H307" s="481"/>
      <c r="I307" s="482"/>
      <c r="J307" s="483">
        <v>340.30220559285254</v>
      </c>
      <c r="K307" s="480">
        <v>110</v>
      </c>
      <c r="L307" s="481"/>
      <c r="M307" s="482"/>
      <c r="N307" s="483"/>
      <c r="O307" s="513"/>
      <c r="P307" s="514">
        <v>110</v>
      </c>
      <c r="Q307" s="486">
        <v>225</v>
      </c>
      <c r="R307" s="485">
        <v>1.66</v>
      </c>
      <c r="S307" s="515">
        <v>29</v>
      </c>
      <c r="T307" s="516">
        <v>1584</v>
      </c>
      <c r="U307" s="490">
        <v>46</v>
      </c>
      <c r="V307" s="373"/>
      <c r="W307" s="391" t="s">
        <v>511</v>
      </c>
    </row>
    <row r="308" spans="1:23">
      <c r="A308" s="476" t="s">
        <v>779</v>
      </c>
      <c r="B308" s="542">
        <v>742</v>
      </c>
      <c r="C308" s="543">
        <v>75.400000000000006</v>
      </c>
      <c r="D308" s="543">
        <v>361</v>
      </c>
      <c r="E308" s="544">
        <v>26.3</v>
      </c>
      <c r="F308" s="512"/>
      <c r="G308" s="480"/>
      <c r="H308" s="481"/>
      <c r="I308" s="482"/>
      <c r="J308" s="483">
        <v>307.27514346275262</v>
      </c>
      <c r="K308" s="480">
        <v>225</v>
      </c>
      <c r="L308" s="481"/>
      <c r="M308" s="482"/>
      <c r="N308" s="483"/>
      <c r="O308" s="513"/>
      <c r="P308" s="514">
        <v>225</v>
      </c>
      <c r="Q308" s="486">
        <v>225</v>
      </c>
      <c r="R308" s="485">
        <v>0.36899999999999999</v>
      </c>
      <c r="S308" s="515">
        <v>6.5</v>
      </c>
      <c r="T308" s="516">
        <v>746</v>
      </c>
      <c r="U308" s="490">
        <v>46</v>
      </c>
      <c r="V308" s="373"/>
      <c r="W308" s="391" t="s">
        <v>511</v>
      </c>
    </row>
    <row r="309" spans="1:23">
      <c r="A309" s="476" t="s">
        <v>780</v>
      </c>
      <c r="B309" s="542">
        <v>818.3</v>
      </c>
      <c r="C309" s="543">
        <v>48</v>
      </c>
      <c r="D309" s="543">
        <v>361.7</v>
      </c>
      <c r="E309" s="544">
        <v>16.899999999999999</v>
      </c>
      <c r="F309" s="512"/>
      <c r="G309" s="480"/>
      <c r="H309" s="481"/>
      <c r="I309" s="482"/>
      <c r="J309" s="483">
        <v>337.40847935481816</v>
      </c>
      <c r="K309" s="480">
        <v>120</v>
      </c>
      <c r="L309" s="481"/>
      <c r="M309" s="482"/>
      <c r="N309" s="483"/>
      <c r="O309" s="513"/>
      <c r="P309" s="514">
        <v>120</v>
      </c>
      <c r="Q309" s="486">
        <v>225</v>
      </c>
      <c r="R309" s="485">
        <v>1.1399999999999999</v>
      </c>
      <c r="S309" s="515">
        <v>19.899999999999999</v>
      </c>
      <c r="T309" s="516">
        <v>1313</v>
      </c>
      <c r="U309" s="490">
        <v>46</v>
      </c>
      <c r="V309" s="373"/>
      <c r="W309" s="391" t="s">
        <v>511</v>
      </c>
    </row>
    <row r="310" spans="1:23">
      <c r="A310" s="476" t="s">
        <v>781</v>
      </c>
      <c r="B310" s="542">
        <v>1016</v>
      </c>
      <c r="C310" s="543">
        <v>40</v>
      </c>
      <c r="D310" s="543">
        <v>504</v>
      </c>
      <c r="E310" s="544">
        <v>16.8</v>
      </c>
      <c r="F310" s="512"/>
      <c r="G310" s="480"/>
      <c r="H310" s="481"/>
      <c r="I310" s="482"/>
      <c r="J310" s="483">
        <v>475.34276336779408</v>
      </c>
      <c r="K310" s="480">
        <v>90</v>
      </c>
      <c r="L310" s="481"/>
      <c r="M310" s="482"/>
      <c r="N310" s="483"/>
      <c r="O310" s="513"/>
      <c r="P310" s="514">
        <v>90</v>
      </c>
      <c r="Q310" s="486">
        <v>302</v>
      </c>
      <c r="R310" s="485">
        <v>1.41</v>
      </c>
      <c r="S310" s="515">
        <v>26</v>
      </c>
      <c r="T310" s="516">
        <v>1837</v>
      </c>
      <c r="U310" s="490">
        <v>46</v>
      </c>
      <c r="V310" s="373"/>
      <c r="W310" s="391" t="s">
        <v>511</v>
      </c>
    </row>
    <row r="311" spans="1:23">
      <c r="A311" s="476" t="s">
        <v>782</v>
      </c>
      <c r="B311" s="542">
        <v>1017</v>
      </c>
      <c r="C311" s="543">
        <v>77.099999999999994</v>
      </c>
      <c r="D311" s="543">
        <v>510</v>
      </c>
      <c r="E311" s="544">
        <v>32.700000000000003</v>
      </c>
      <c r="F311" s="512"/>
      <c r="G311" s="480"/>
      <c r="H311" s="481"/>
      <c r="I311" s="482"/>
      <c r="J311" s="483">
        <v>443.08736156783669</v>
      </c>
      <c r="K311" s="480">
        <v>175</v>
      </c>
      <c r="L311" s="481"/>
      <c r="M311" s="482"/>
      <c r="N311" s="483"/>
      <c r="O311" s="513"/>
      <c r="P311" s="514">
        <v>175</v>
      </c>
      <c r="Q311" s="486">
        <v>302</v>
      </c>
      <c r="R311" s="485">
        <v>0.37</v>
      </c>
      <c r="S311" s="515">
        <v>7</v>
      </c>
      <c r="T311" s="516">
        <v>954</v>
      </c>
      <c r="U311" s="490">
        <v>46</v>
      </c>
      <c r="V311" s="373"/>
      <c r="W311" s="391" t="s">
        <v>511</v>
      </c>
    </row>
    <row r="312" spans="1:23" ht="13.5" thickBot="1">
      <c r="A312" s="408" t="s">
        <v>783</v>
      </c>
      <c r="B312" s="545">
        <v>1072.5999999999999</v>
      </c>
      <c r="C312" s="510">
        <v>48</v>
      </c>
      <c r="D312" s="510">
        <v>498.7</v>
      </c>
      <c r="E312" s="511">
        <v>20</v>
      </c>
      <c r="F312" s="517"/>
      <c r="G312" s="518"/>
      <c r="H312" s="519"/>
      <c r="I312" s="520"/>
      <c r="J312" s="521">
        <v>481.2845479098915</v>
      </c>
      <c r="K312" s="518">
        <v>100</v>
      </c>
      <c r="L312" s="519"/>
      <c r="M312" s="520"/>
      <c r="N312" s="521"/>
      <c r="O312" s="522"/>
      <c r="P312" s="523">
        <v>100</v>
      </c>
      <c r="Q312" s="419">
        <v>302</v>
      </c>
      <c r="R312" s="418">
        <v>0.94</v>
      </c>
      <c r="S312" s="524">
        <v>18.100000000000001</v>
      </c>
      <c r="T312" s="525">
        <v>1536</v>
      </c>
      <c r="U312" s="423">
        <v>46</v>
      </c>
      <c r="V312" s="373"/>
      <c r="W312" s="391" t="s">
        <v>511</v>
      </c>
    </row>
    <row r="313" spans="1:23">
      <c r="A313" s="552" t="s">
        <v>784</v>
      </c>
      <c r="B313" s="553">
        <v>12.3</v>
      </c>
      <c r="C313" s="554">
        <v>8.19</v>
      </c>
      <c r="D313" s="554">
        <v>4.57</v>
      </c>
      <c r="E313" s="555">
        <v>2.73</v>
      </c>
      <c r="F313" s="556"/>
      <c r="G313" s="557"/>
      <c r="H313" s="558"/>
      <c r="I313" s="559"/>
      <c r="J313" s="560"/>
      <c r="K313" s="557"/>
      <c r="L313" s="558">
        <v>4.0794595013314616</v>
      </c>
      <c r="M313" s="559">
        <v>2500</v>
      </c>
      <c r="N313" s="560"/>
      <c r="O313" s="561"/>
      <c r="P313" s="562">
        <v>2500</v>
      </c>
      <c r="Q313" s="563">
        <v>0.58600000000000008</v>
      </c>
      <c r="R313" s="564">
        <v>8.4700000000000006</v>
      </c>
      <c r="S313" s="565">
        <v>34.4</v>
      </c>
      <c r="T313" s="566">
        <v>102</v>
      </c>
      <c r="U313" s="567">
        <v>10</v>
      </c>
      <c r="V313" s="373"/>
      <c r="W313" s="391" t="s">
        <v>511</v>
      </c>
    </row>
    <row r="314" spans="1:23">
      <c r="A314" s="476" t="s">
        <v>785</v>
      </c>
      <c r="B314" s="542">
        <v>12.3</v>
      </c>
      <c r="C314" s="543">
        <v>8.19</v>
      </c>
      <c r="D314" s="543">
        <v>4.57</v>
      </c>
      <c r="E314" s="544">
        <v>2.73</v>
      </c>
      <c r="F314" s="512"/>
      <c r="G314" s="480"/>
      <c r="H314" s="481"/>
      <c r="I314" s="482"/>
      <c r="J314" s="483"/>
      <c r="K314" s="480"/>
      <c r="L314" s="481"/>
      <c r="M314" s="482"/>
      <c r="N314" s="483">
        <v>4.0794595013314616</v>
      </c>
      <c r="O314" s="513">
        <v>2500</v>
      </c>
      <c r="P314" s="514">
        <v>2500</v>
      </c>
      <c r="Q314" s="486">
        <v>0.58600000000000008</v>
      </c>
      <c r="R314" s="485">
        <v>8.4700000000000006</v>
      </c>
      <c r="S314" s="515">
        <v>34.4</v>
      </c>
      <c r="T314" s="516">
        <v>102</v>
      </c>
      <c r="U314" s="490">
        <v>10</v>
      </c>
      <c r="V314" s="373"/>
      <c r="W314" s="391" t="s">
        <v>511</v>
      </c>
    </row>
    <row r="315" spans="1:23">
      <c r="A315" s="476" t="s">
        <v>786</v>
      </c>
      <c r="B315" s="542">
        <v>22.2</v>
      </c>
      <c r="C315" s="543">
        <v>14</v>
      </c>
      <c r="D315" s="543">
        <v>8.26</v>
      </c>
      <c r="E315" s="544">
        <v>4.68</v>
      </c>
      <c r="F315" s="512"/>
      <c r="G315" s="480"/>
      <c r="H315" s="481"/>
      <c r="I315" s="482"/>
      <c r="J315" s="483"/>
      <c r="K315" s="480"/>
      <c r="L315" s="481">
        <v>7.1008569409880025</v>
      </c>
      <c r="M315" s="482">
        <v>2500</v>
      </c>
      <c r="N315" s="483"/>
      <c r="O315" s="513"/>
      <c r="P315" s="514">
        <v>2500</v>
      </c>
      <c r="Q315" s="486">
        <v>0.88700000000000001</v>
      </c>
      <c r="R315" s="485">
        <v>3.7</v>
      </c>
      <c r="S315" s="515">
        <v>18.3</v>
      </c>
      <c r="T315" s="516">
        <v>108</v>
      </c>
      <c r="U315" s="490">
        <v>10</v>
      </c>
      <c r="V315" s="373"/>
      <c r="W315" s="391" t="s">
        <v>511</v>
      </c>
    </row>
    <row r="316" spans="1:23">
      <c r="A316" s="476" t="s">
        <v>787</v>
      </c>
      <c r="B316" s="542">
        <v>22.2</v>
      </c>
      <c r="C316" s="543">
        <v>14</v>
      </c>
      <c r="D316" s="543">
        <v>8.26</v>
      </c>
      <c r="E316" s="544">
        <v>4.68</v>
      </c>
      <c r="F316" s="512"/>
      <c r="G316" s="480"/>
      <c r="H316" s="481"/>
      <c r="I316" s="482"/>
      <c r="J316" s="483"/>
      <c r="K316" s="480"/>
      <c r="L316" s="481"/>
      <c r="M316" s="482"/>
      <c r="N316" s="483">
        <v>7.1008569409880025</v>
      </c>
      <c r="O316" s="513">
        <v>2500</v>
      </c>
      <c r="P316" s="514">
        <v>2500</v>
      </c>
      <c r="Q316" s="486">
        <v>0.88700000000000001</v>
      </c>
      <c r="R316" s="485">
        <v>3.7</v>
      </c>
      <c r="S316" s="515">
        <v>18.3</v>
      </c>
      <c r="T316" s="516">
        <v>108</v>
      </c>
      <c r="U316" s="490">
        <v>10</v>
      </c>
      <c r="V316" s="373"/>
      <c r="W316" s="391" t="s">
        <v>511</v>
      </c>
    </row>
    <row r="317" spans="1:23">
      <c r="A317" s="476" t="s">
        <v>788</v>
      </c>
      <c r="B317" s="542">
        <v>30</v>
      </c>
      <c r="C317" s="543">
        <v>14.2</v>
      </c>
      <c r="D317" s="543">
        <v>11.1</v>
      </c>
      <c r="E317" s="544">
        <v>4.7300000000000004</v>
      </c>
      <c r="F317" s="512"/>
      <c r="G317" s="480"/>
      <c r="H317" s="481"/>
      <c r="I317" s="482"/>
      <c r="J317" s="483"/>
      <c r="K317" s="480"/>
      <c r="L317" s="481">
        <v>9.3922637083297165</v>
      </c>
      <c r="M317" s="482">
        <v>2250</v>
      </c>
      <c r="N317" s="483"/>
      <c r="O317" s="513"/>
      <c r="P317" s="514">
        <v>2250</v>
      </c>
      <c r="Q317" s="486">
        <v>1.1900000000000002</v>
      </c>
      <c r="R317" s="485">
        <v>3.97</v>
      </c>
      <c r="S317" s="515">
        <v>20.6</v>
      </c>
      <c r="T317" s="516">
        <v>143</v>
      </c>
      <c r="U317" s="490">
        <v>10</v>
      </c>
      <c r="V317" s="373"/>
      <c r="W317" s="391" t="s">
        <v>511</v>
      </c>
    </row>
    <row r="318" spans="1:23">
      <c r="A318" s="476" t="s">
        <v>789</v>
      </c>
      <c r="B318" s="542">
        <v>30</v>
      </c>
      <c r="C318" s="543">
        <v>14.2</v>
      </c>
      <c r="D318" s="543">
        <v>11.1</v>
      </c>
      <c r="E318" s="544">
        <v>4.7300000000000004</v>
      </c>
      <c r="F318" s="512"/>
      <c r="G318" s="480"/>
      <c r="H318" s="481"/>
      <c r="I318" s="482"/>
      <c r="J318" s="483"/>
      <c r="K318" s="480"/>
      <c r="L318" s="481"/>
      <c r="M318" s="482"/>
      <c r="N318" s="483">
        <v>9.1749641593615827</v>
      </c>
      <c r="O318" s="513">
        <v>2500</v>
      </c>
      <c r="P318" s="514">
        <v>2500</v>
      </c>
      <c r="Q318" s="486">
        <v>1.1900000000000002</v>
      </c>
      <c r="R318" s="485">
        <v>3.97</v>
      </c>
      <c r="S318" s="515">
        <v>20.6</v>
      </c>
      <c r="T318" s="516">
        <v>143</v>
      </c>
      <c r="U318" s="490">
        <v>10</v>
      </c>
      <c r="V318" s="373"/>
      <c r="W318" s="391" t="s">
        <v>511</v>
      </c>
    </row>
    <row r="319" spans="1:23">
      <c r="A319" s="476" t="s">
        <v>790</v>
      </c>
      <c r="B319" s="542">
        <v>38.1</v>
      </c>
      <c r="C319" s="543">
        <v>15</v>
      </c>
      <c r="D319" s="543">
        <v>14.1</v>
      </c>
      <c r="E319" s="544">
        <v>5</v>
      </c>
      <c r="F319" s="512"/>
      <c r="G319" s="480"/>
      <c r="H319" s="481"/>
      <c r="I319" s="482"/>
      <c r="J319" s="483"/>
      <c r="K319" s="480"/>
      <c r="L319" s="481">
        <v>12.316011704343641</v>
      </c>
      <c r="M319" s="482">
        <v>1850</v>
      </c>
      <c r="N319" s="483"/>
      <c r="O319" s="513"/>
      <c r="P319" s="514">
        <v>1850</v>
      </c>
      <c r="Q319" s="486">
        <v>1.49</v>
      </c>
      <c r="R319" s="485">
        <v>4.08</v>
      </c>
      <c r="S319" s="515">
        <v>22.1</v>
      </c>
      <c r="T319" s="516">
        <v>173</v>
      </c>
      <c r="U319" s="490">
        <v>10</v>
      </c>
      <c r="V319" s="373"/>
      <c r="W319" s="391" t="s">
        <v>511</v>
      </c>
    </row>
    <row r="320" spans="1:23">
      <c r="A320" s="476" t="s">
        <v>791</v>
      </c>
      <c r="B320" s="542">
        <v>38.1</v>
      </c>
      <c r="C320" s="543">
        <v>15</v>
      </c>
      <c r="D320" s="543">
        <v>14.2</v>
      </c>
      <c r="E320" s="544">
        <v>5</v>
      </c>
      <c r="F320" s="512"/>
      <c r="G320" s="480"/>
      <c r="H320" s="481"/>
      <c r="I320" s="482"/>
      <c r="J320" s="483"/>
      <c r="K320" s="480"/>
      <c r="L320" s="481"/>
      <c r="M320" s="482"/>
      <c r="N320" s="483">
        <v>11.756245129721334</v>
      </c>
      <c r="O320" s="513">
        <v>2250</v>
      </c>
      <c r="P320" s="514">
        <v>2250</v>
      </c>
      <c r="Q320" s="486">
        <v>1.49</v>
      </c>
      <c r="R320" s="485">
        <v>4.08</v>
      </c>
      <c r="S320" s="515">
        <v>22.1</v>
      </c>
      <c r="T320" s="516">
        <v>173</v>
      </c>
      <c r="U320" s="490">
        <v>10</v>
      </c>
      <c r="V320" s="373"/>
      <c r="W320" s="391" t="s">
        <v>511</v>
      </c>
    </row>
    <row r="321" spans="1:23">
      <c r="A321" s="476" t="s">
        <v>792</v>
      </c>
      <c r="B321" s="542">
        <v>30</v>
      </c>
      <c r="C321" s="543">
        <v>12.8</v>
      </c>
      <c r="D321" s="543">
        <v>11.7</v>
      </c>
      <c r="E321" s="544">
        <v>4.75</v>
      </c>
      <c r="F321" s="512"/>
      <c r="G321" s="480"/>
      <c r="H321" s="481"/>
      <c r="I321" s="482"/>
      <c r="J321" s="483"/>
      <c r="K321" s="480"/>
      <c r="L321" s="481">
        <v>10.27231475555976</v>
      </c>
      <c r="M321" s="482">
        <v>2100</v>
      </c>
      <c r="N321" s="483"/>
      <c r="O321" s="513"/>
      <c r="P321" s="514">
        <v>2100</v>
      </c>
      <c r="Q321" s="486">
        <v>2.7399999999999998</v>
      </c>
      <c r="R321" s="485">
        <v>4.13</v>
      </c>
      <c r="S321" s="515">
        <v>24</v>
      </c>
      <c r="T321" s="516">
        <v>151</v>
      </c>
      <c r="U321" s="490">
        <v>10</v>
      </c>
      <c r="V321" s="373"/>
      <c r="W321" s="391" t="s">
        <v>511</v>
      </c>
    </row>
    <row r="322" spans="1:23">
      <c r="A322" s="476" t="s">
        <v>793</v>
      </c>
      <c r="B322" s="542">
        <v>30</v>
      </c>
      <c r="C322" s="543">
        <v>12.8</v>
      </c>
      <c r="D322" s="543">
        <v>11.7</v>
      </c>
      <c r="E322" s="544">
        <v>4.75</v>
      </c>
      <c r="F322" s="512"/>
      <c r="G322" s="480"/>
      <c r="H322" s="481"/>
      <c r="I322" s="482"/>
      <c r="J322" s="483"/>
      <c r="K322" s="480"/>
      <c r="L322" s="481"/>
      <c r="M322" s="482"/>
      <c r="N322" s="483">
        <v>10.030581133423611</v>
      </c>
      <c r="O322" s="513">
        <v>2500</v>
      </c>
      <c r="P322" s="514">
        <v>2500</v>
      </c>
      <c r="Q322" s="486">
        <v>2.7399999999999998</v>
      </c>
      <c r="R322" s="485">
        <v>4.13</v>
      </c>
      <c r="S322" s="515">
        <v>24</v>
      </c>
      <c r="T322" s="516">
        <v>151</v>
      </c>
      <c r="U322" s="490">
        <v>10</v>
      </c>
      <c r="V322" s="373"/>
      <c r="W322" s="391" t="s">
        <v>511</v>
      </c>
    </row>
    <row r="323" spans="1:23">
      <c r="A323" s="476" t="s">
        <v>794</v>
      </c>
      <c r="B323" s="542">
        <v>26.6</v>
      </c>
      <c r="C323" s="543">
        <v>43.1</v>
      </c>
      <c r="D323" s="543">
        <v>16.8</v>
      </c>
      <c r="E323" s="544">
        <v>9.84</v>
      </c>
      <c r="F323" s="512"/>
      <c r="G323" s="480"/>
      <c r="H323" s="481"/>
      <c r="I323" s="482"/>
      <c r="J323" s="483"/>
      <c r="K323" s="480"/>
      <c r="L323" s="481">
        <v>14.090942041584047</v>
      </c>
      <c r="M323" s="482">
        <v>2500</v>
      </c>
      <c r="N323" s="483"/>
      <c r="O323" s="513"/>
      <c r="P323" s="514">
        <v>2500</v>
      </c>
      <c r="Q323" s="486">
        <v>3.59</v>
      </c>
      <c r="R323" s="485">
        <v>1.1399999999999999</v>
      </c>
      <c r="S323" s="515">
        <v>7</v>
      </c>
      <c r="T323" s="516">
        <v>105</v>
      </c>
      <c r="U323" s="490">
        <v>10</v>
      </c>
      <c r="V323" s="373"/>
      <c r="W323" s="391" t="s">
        <v>511</v>
      </c>
    </row>
    <row r="324" spans="1:23">
      <c r="A324" s="476" t="s">
        <v>795</v>
      </c>
      <c r="B324" s="542">
        <v>26.6</v>
      </c>
      <c r="C324" s="543">
        <v>43.1</v>
      </c>
      <c r="D324" s="543">
        <v>16.8</v>
      </c>
      <c r="E324" s="544">
        <v>9.84</v>
      </c>
      <c r="F324" s="512"/>
      <c r="G324" s="480"/>
      <c r="H324" s="481"/>
      <c r="I324" s="482"/>
      <c r="J324" s="483"/>
      <c r="K324" s="480"/>
      <c r="L324" s="481"/>
      <c r="M324" s="482"/>
      <c r="N324" s="483">
        <v>14.090942041584047</v>
      </c>
      <c r="O324" s="513">
        <v>2500</v>
      </c>
      <c r="P324" s="514">
        <v>2500</v>
      </c>
      <c r="Q324" s="486">
        <v>3.59</v>
      </c>
      <c r="R324" s="485">
        <v>1.1399999999999999</v>
      </c>
      <c r="S324" s="515">
        <v>7</v>
      </c>
      <c r="T324" s="516">
        <v>105</v>
      </c>
      <c r="U324" s="490">
        <v>10</v>
      </c>
      <c r="V324" s="373"/>
      <c r="W324" s="391" t="s">
        <v>511</v>
      </c>
    </row>
    <row r="325" spans="1:23">
      <c r="A325" s="476" t="s">
        <v>796</v>
      </c>
      <c r="B325" s="542">
        <v>43.1</v>
      </c>
      <c r="C325" s="543">
        <v>15.5</v>
      </c>
      <c r="D325" s="543">
        <v>16.899999999999999</v>
      </c>
      <c r="E325" s="544">
        <v>5.74</v>
      </c>
      <c r="F325" s="512"/>
      <c r="G325" s="480"/>
      <c r="H325" s="481"/>
      <c r="I325" s="482"/>
      <c r="J325" s="483"/>
      <c r="K325" s="480"/>
      <c r="L325" s="481">
        <v>10.504226244065093</v>
      </c>
      <c r="M325" s="482">
        <v>2500</v>
      </c>
      <c r="N325" s="483"/>
      <c r="O325" s="513"/>
      <c r="P325" s="514">
        <v>1750</v>
      </c>
      <c r="Q325" s="486">
        <v>3.59</v>
      </c>
      <c r="R325" s="485">
        <v>3.36</v>
      </c>
      <c r="S325" s="515">
        <v>90</v>
      </c>
      <c r="T325" s="516">
        <v>181</v>
      </c>
      <c r="U325" s="490">
        <v>10</v>
      </c>
      <c r="V325" s="373"/>
      <c r="W325" s="391" t="s">
        <v>511</v>
      </c>
    </row>
    <row r="326" spans="1:23">
      <c r="A326" s="476" t="s">
        <v>797</v>
      </c>
      <c r="B326" s="542">
        <v>43.1</v>
      </c>
      <c r="C326" s="543">
        <v>15.5</v>
      </c>
      <c r="D326" s="543">
        <v>16.899999999999999</v>
      </c>
      <c r="E326" s="544">
        <v>5.74</v>
      </c>
      <c r="F326" s="512"/>
      <c r="G326" s="480"/>
      <c r="H326" s="481"/>
      <c r="I326" s="482"/>
      <c r="J326" s="483"/>
      <c r="K326" s="480"/>
      <c r="L326" s="481"/>
      <c r="M326" s="482"/>
      <c r="N326" s="483">
        <v>12.108508070431398</v>
      </c>
      <c r="O326" s="513">
        <v>2500</v>
      </c>
      <c r="P326" s="514">
        <v>2100</v>
      </c>
      <c r="Q326" s="486">
        <v>3.59</v>
      </c>
      <c r="R326" s="485">
        <v>3.36</v>
      </c>
      <c r="S326" s="515">
        <v>90</v>
      </c>
      <c r="T326" s="516">
        <v>181</v>
      </c>
      <c r="U326" s="490">
        <v>10</v>
      </c>
      <c r="V326" s="373"/>
      <c r="W326" s="391" t="s">
        <v>511</v>
      </c>
    </row>
    <row r="327" spans="1:23">
      <c r="A327" s="476" t="s">
        <v>798</v>
      </c>
      <c r="B327" s="542">
        <v>53.7</v>
      </c>
      <c r="C327" s="543">
        <v>24.9</v>
      </c>
      <c r="D327" s="543">
        <v>20.9</v>
      </c>
      <c r="E327" s="544">
        <v>9.2100000000000009</v>
      </c>
      <c r="F327" s="512"/>
      <c r="G327" s="480"/>
      <c r="H327" s="481"/>
      <c r="I327" s="482"/>
      <c r="J327" s="483"/>
      <c r="K327" s="480"/>
      <c r="L327" s="481">
        <v>16.93679496528561</v>
      </c>
      <c r="M327" s="482">
        <v>2350</v>
      </c>
      <c r="N327" s="483"/>
      <c r="O327" s="513"/>
      <c r="P327" s="514">
        <v>2350</v>
      </c>
      <c r="Q327" s="486">
        <v>4.43</v>
      </c>
      <c r="R327" s="485">
        <v>1.41</v>
      </c>
      <c r="S327" s="515">
        <v>9.1</v>
      </c>
      <c r="T327" s="516">
        <v>139</v>
      </c>
      <c r="U327" s="490">
        <v>10</v>
      </c>
      <c r="V327" s="373"/>
      <c r="W327" s="391" t="s">
        <v>511</v>
      </c>
    </row>
    <row r="328" spans="1:23">
      <c r="A328" s="476" t="s">
        <v>799</v>
      </c>
      <c r="B328" s="542">
        <v>53.7</v>
      </c>
      <c r="C328" s="543">
        <v>24.9</v>
      </c>
      <c r="D328" s="543">
        <v>20.9</v>
      </c>
      <c r="E328" s="544">
        <v>9.2100000000000009</v>
      </c>
      <c r="F328" s="512"/>
      <c r="G328" s="480"/>
      <c r="H328" s="481"/>
      <c r="I328" s="482"/>
      <c r="J328" s="483"/>
      <c r="K328" s="480"/>
      <c r="L328" s="481"/>
      <c r="M328" s="482"/>
      <c r="N328" s="483">
        <v>16.810581709138354</v>
      </c>
      <c r="O328" s="513">
        <v>2500</v>
      </c>
      <c r="P328" s="514">
        <v>2500</v>
      </c>
      <c r="Q328" s="486">
        <v>4.43</v>
      </c>
      <c r="R328" s="485">
        <v>1.41</v>
      </c>
      <c r="S328" s="515">
        <v>9.1</v>
      </c>
      <c r="T328" s="516">
        <v>139</v>
      </c>
      <c r="U328" s="490">
        <v>10</v>
      </c>
      <c r="V328" s="373"/>
      <c r="W328" s="391" t="s">
        <v>511</v>
      </c>
    </row>
    <row r="329" spans="1:23">
      <c r="A329" s="476" t="s">
        <v>800</v>
      </c>
      <c r="B329" s="542">
        <v>63.5</v>
      </c>
      <c r="C329" s="543">
        <v>26.4</v>
      </c>
      <c r="D329" s="543">
        <v>24.8</v>
      </c>
      <c r="E329" s="544">
        <v>9.7899999999999991</v>
      </c>
      <c r="F329" s="512"/>
      <c r="G329" s="480"/>
      <c r="H329" s="481"/>
      <c r="I329" s="482"/>
      <c r="J329" s="483"/>
      <c r="K329" s="480"/>
      <c r="L329" s="481">
        <v>20.326359874879206</v>
      </c>
      <c r="M329" s="482">
        <v>2100</v>
      </c>
      <c r="N329" s="483"/>
      <c r="O329" s="513"/>
      <c r="P329" s="514">
        <v>2100</v>
      </c>
      <c r="Q329" s="486">
        <v>5.28</v>
      </c>
      <c r="R329" s="485">
        <v>1.35</v>
      </c>
      <c r="S329" s="515">
        <v>9</v>
      </c>
      <c r="T329" s="516">
        <v>155.5</v>
      </c>
      <c r="U329" s="490">
        <v>10</v>
      </c>
      <c r="V329" s="373"/>
      <c r="W329" s="391" t="s">
        <v>511</v>
      </c>
    </row>
    <row r="330" spans="1:23">
      <c r="A330" s="476" t="s">
        <v>801</v>
      </c>
      <c r="B330" s="542">
        <v>63.5</v>
      </c>
      <c r="C330" s="543">
        <v>26.4</v>
      </c>
      <c r="D330" s="543">
        <v>24.8</v>
      </c>
      <c r="E330" s="544">
        <v>9.7899999999999991</v>
      </c>
      <c r="F330" s="512"/>
      <c r="G330" s="480"/>
      <c r="H330" s="481"/>
      <c r="I330" s="482"/>
      <c r="J330" s="483"/>
      <c r="K330" s="480"/>
      <c r="L330" s="481"/>
      <c r="M330" s="482"/>
      <c r="N330" s="483">
        <v>19.251381916395662</v>
      </c>
      <c r="O330" s="513">
        <v>2500</v>
      </c>
      <c r="P330" s="514">
        <v>2500</v>
      </c>
      <c r="Q330" s="486">
        <v>5.28</v>
      </c>
      <c r="R330" s="485">
        <v>1.35</v>
      </c>
      <c r="S330" s="515">
        <v>9</v>
      </c>
      <c r="T330" s="516">
        <v>156</v>
      </c>
      <c r="U330" s="490">
        <v>10</v>
      </c>
      <c r="V330" s="373"/>
      <c r="W330" s="391" t="s">
        <v>511</v>
      </c>
    </row>
    <row r="331" spans="1:23">
      <c r="A331" s="476" t="s">
        <v>802</v>
      </c>
      <c r="B331" s="542">
        <v>85.7</v>
      </c>
      <c r="C331" s="543">
        <v>26.7</v>
      </c>
      <c r="D331" s="543">
        <v>33.4</v>
      </c>
      <c r="E331" s="544">
        <v>9.89</v>
      </c>
      <c r="F331" s="512"/>
      <c r="G331" s="480"/>
      <c r="H331" s="481"/>
      <c r="I331" s="482"/>
      <c r="J331" s="483"/>
      <c r="K331" s="480"/>
      <c r="L331" s="481">
        <v>29.131322896182791</v>
      </c>
      <c r="M331" s="482">
        <v>1600</v>
      </c>
      <c r="N331" s="483"/>
      <c r="O331" s="513"/>
      <c r="P331" s="514">
        <v>1600</v>
      </c>
      <c r="Q331" s="486">
        <v>9.41</v>
      </c>
      <c r="R331" s="485">
        <v>1.36</v>
      </c>
      <c r="S331" s="515">
        <v>18.100000000000001</v>
      </c>
      <c r="T331" s="516">
        <v>206</v>
      </c>
      <c r="U331" s="490">
        <v>10</v>
      </c>
      <c r="V331" s="373"/>
      <c r="W331" s="391" t="s">
        <v>511</v>
      </c>
    </row>
    <row r="332" spans="1:23">
      <c r="A332" s="476" t="s">
        <v>803</v>
      </c>
      <c r="B332" s="542">
        <v>85.7</v>
      </c>
      <c r="C332" s="543">
        <v>26.7</v>
      </c>
      <c r="D332" s="543">
        <v>33.4</v>
      </c>
      <c r="E332" s="544">
        <v>9.89</v>
      </c>
      <c r="F332" s="512"/>
      <c r="G332" s="480"/>
      <c r="H332" s="481"/>
      <c r="I332" s="482"/>
      <c r="J332" s="483"/>
      <c r="K332" s="480"/>
      <c r="L332" s="481"/>
      <c r="M332" s="482"/>
      <c r="N332" s="483">
        <v>27.893997920842708</v>
      </c>
      <c r="O332" s="513">
        <v>1900</v>
      </c>
      <c r="P332" s="514">
        <v>1900</v>
      </c>
      <c r="Q332" s="486">
        <v>9.41</v>
      </c>
      <c r="R332" s="485">
        <v>1.36</v>
      </c>
      <c r="S332" s="515">
        <v>18.100000000000001</v>
      </c>
      <c r="T332" s="516">
        <v>206</v>
      </c>
      <c r="U332" s="490">
        <v>10</v>
      </c>
      <c r="V332" s="373"/>
      <c r="W332" s="391" t="s">
        <v>511</v>
      </c>
    </row>
    <row r="333" spans="1:23">
      <c r="A333" s="476" t="s">
        <v>804</v>
      </c>
      <c r="B333" s="542">
        <v>121.5</v>
      </c>
      <c r="C333" s="543">
        <v>39.299999999999997</v>
      </c>
      <c r="D333" s="543">
        <v>47.3</v>
      </c>
      <c r="E333" s="544">
        <v>14.6</v>
      </c>
      <c r="F333" s="512"/>
      <c r="G333" s="480"/>
      <c r="H333" s="481"/>
      <c r="I333" s="482"/>
      <c r="J333" s="483"/>
      <c r="K333" s="480"/>
      <c r="L333" s="481">
        <v>39.701923985832799</v>
      </c>
      <c r="M333" s="482">
        <v>1650</v>
      </c>
      <c r="N333" s="483"/>
      <c r="O333" s="513"/>
      <c r="P333" s="514">
        <v>1650</v>
      </c>
      <c r="Q333" s="486">
        <v>12.6</v>
      </c>
      <c r="R333" s="485">
        <v>0.76</v>
      </c>
      <c r="S333" s="515">
        <v>11.1</v>
      </c>
      <c r="T333" s="516">
        <v>198</v>
      </c>
      <c r="U333" s="490">
        <v>10</v>
      </c>
      <c r="V333" s="373"/>
      <c r="W333" s="391" t="s">
        <v>511</v>
      </c>
    </row>
    <row r="334" spans="1:23">
      <c r="A334" s="476" t="s">
        <v>805</v>
      </c>
      <c r="B334" s="542">
        <v>121.5</v>
      </c>
      <c r="C334" s="543">
        <v>39.299999999999997</v>
      </c>
      <c r="D334" s="543">
        <v>47.3</v>
      </c>
      <c r="E334" s="544">
        <v>14.6</v>
      </c>
      <c r="F334" s="512"/>
      <c r="G334" s="480"/>
      <c r="H334" s="481"/>
      <c r="I334" s="482"/>
      <c r="J334" s="483"/>
      <c r="K334" s="480"/>
      <c r="L334" s="481"/>
      <c r="M334" s="482"/>
      <c r="N334" s="483">
        <v>37.543059525947193</v>
      </c>
      <c r="O334" s="513">
        <v>2000</v>
      </c>
      <c r="P334" s="514">
        <v>2000</v>
      </c>
      <c r="Q334" s="486">
        <v>12.6</v>
      </c>
      <c r="R334" s="485">
        <v>0.76</v>
      </c>
      <c r="S334" s="515">
        <v>11.1</v>
      </c>
      <c r="T334" s="516">
        <v>198</v>
      </c>
      <c r="U334" s="490">
        <v>10</v>
      </c>
      <c r="V334" s="373"/>
      <c r="W334" s="391" t="s">
        <v>511</v>
      </c>
    </row>
    <row r="335" spans="1:23">
      <c r="A335" s="476" t="s">
        <v>806</v>
      </c>
      <c r="B335" s="542">
        <v>124.2</v>
      </c>
      <c r="C335" s="543">
        <v>31.8</v>
      </c>
      <c r="D335" s="543">
        <v>48.4</v>
      </c>
      <c r="E335" s="544">
        <v>11.8</v>
      </c>
      <c r="F335" s="512"/>
      <c r="G335" s="480"/>
      <c r="H335" s="481"/>
      <c r="I335" s="482"/>
      <c r="J335" s="483"/>
      <c r="K335" s="480"/>
      <c r="L335" s="481">
        <v>40.489017522578173</v>
      </c>
      <c r="M335" s="482">
        <v>1250</v>
      </c>
      <c r="N335" s="483"/>
      <c r="O335" s="513"/>
      <c r="P335" s="514">
        <v>1250</v>
      </c>
      <c r="Q335" s="486">
        <v>12.6</v>
      </c>
      <c r="R335" s="485">
        <v>1.19</v>
      </c>
      <c r="S335" s="515">
        <v>17.8</v>
      </c>
      <c r="T335" s="516">
        <v>250.4</v>
      </c>
      <c r="U335" s="490">
        <v>10</v>
      </c>
      <c r="V335" s="373"/>
      <c r="W335" s="391" t="s">
        <v>511</v>
      </c>
    </row>
    <row r="336" spans="1:23">
      <c r="A336" s="476" t="s">
        <v>807</v>
      </c>
      <c r="B336" s="542">
        <v>124.2</v>
      </c>
      <c r="C336" s="543">
        <v>31.8</v>
      </c>
      <c r="D336" s="543">
        <v>48.4</v>
      </c>
      <c r="E336" s="544">
        <v>11.8</v>
      </c>
      <c r="F336" s="512"/>
      <c r="G336" s="480"/>
      <c r="H336" s="481"/>
      <c r="I336" s="482"/>
      <c r="J336" s="483"/>
      <c r="K336" s="480"/>
      <c r="L336" s="481"/>
      <c r="M336" s="482"/>
      <c r="N336" s="483">
        <v>37.889144516715724</v>
      </c>
      <c r="O336" s="513">
        <v>1550</v>
      </c>
      <c r="P336" s="514">
        <v>1550</v>
      </c>
      <c r="Q336" s="486">
        <v>12.6</v>
      </c>
      <c r="R336" s="485">
        <v>1.19</v>
      </c>
      <c r="S336" s="515">
        <v>17.8</v>
      </c>
      <c r="T336" s="516">
        <v>250.4</v>
      </c>
      <c r="U336" s="490">
        <v>10</v>
      </c>
      <c r="V336" s="373"/>
      <c r="W336" s="391" t="s">
        <v>511</v>
      </c>
    </row>
    <row r="337" spans="1:23">
      <c r="A337" s="476" t="s">
        <v>808</v>
      </c>
      <c r="B337" s="542">
        <v>154.4</v>
      </c>
      <c r="C337" s="543">
        <v>37.5</v>
      </c>
      <c r="D337" s="543">
        <v>60.2</v>
      </c>
      <c r="E337" s="544">
        <v>13.9</v>
      </c>
      <c r="F337" s="512"/>
      <c r="G337" s="480"/>
      <c r="H337" s="481"/>
      <c r="I337" s="482"/>
      <c r="J337" s="483"/>
      <c r="K337" s="480"/>
      <c r="L337" s="481">
        <v>52.437097410372942</v>
      </c>
      <c r="M337" s="482">
        <v>1250</v>
      </c>
      <c r="N337" s="483"/>
      <c r="O337" s="513"/>
      <c r="P337" s="514">
        <v>1250</v>
      </c>
      <c r="Q337" s="486">
        <v>15.7</v>
      </c>
      <c r="R337" s="485">
        <v>0.93</v>
      </c>
      <c r="S337" s="515">
        <v>14.4</v>
      </c>
      <c r="T337" s="516">
        <v>264</v>
      </c>
      <c r="U337" s="490">
        <v>10</v>
      </c>
      <c r="V337" s="373"/>
      <c r="W337" s="391" t="s">
        <v>511</v>
      </c>
    </row>
    <row r="338" spans="1:23">
      <c r="A338" s="476" t="s">
        <v>809</v>
      </c>
      <c r="B338" s="542">
        <v>154.4</v>
      </c>
      <c r="C338" s="543">
        <v>37.5</v>
      </c>
      <c r="D338" s="543">
        <v>60.2</v>
      </c>
      <c r="E338" s="544">
        <v>13.9</v>
      </c>
      <c r="F338" s="512"/>
      <c r="G338" s="480"/>
      <c r="H338" s="481"/>
      <c r="I338" s="482"/>
      <c r="J338" s="483"/>
      <c r="K338" s="480"/>
      <c r="L338" s="481"/>
      <c r="M338" s="482"/>
      <c r="N338" s="483">
        <v>50.674933880459477</v>
      </c>
      <c r="O338" s="513">
        <v>1500</v>
      </c>
      <c r="P338" s="514">
        <v>1500</v>
      </c>
      <c r="Q338" s="486">
        <v>15.7</v>
      </c>
      <c r="R338" s="485">
        <v>0.93</v>
      </c>
      <c r="S338" s="515">
        <v>14.4</v>
      </c>
      <c r="T338" s="516">
        <v>264</v>
      </c>
      <c r="U338" s="490">
        <v>10</v>
      </c>
      <c r="V338" s="373"/>
      <c r="W338" s="391" t="s">
        <v>511</v>
      </c>
    </row>
    <row r="339" spans="1:23">
      <c r="A339" s="476" t="s">
        <v>810</v>
      </c>
      <c r="B339" s="542">
        <v>149</v>
      </c>
      <c r="C339" s="543">
        <v>52.8</v>
      </c>
      <c r="D339" s="543">
        <v>58</v>
      </c>
      <c r="E339" s="544">
        <v>19.5</v>
      </c>
      <c r="F339" s="512"/>
      <c r="G339" s="480"/>
      <c r="H339" s="481"/>
      <c r="I339" s="482"/>
      <c r="J339" s="483"/>
      <c r="K339" s="480"/>
      <c r="L339" s="481">
        <v>45.800491136899048</v>
      </c>
      <c r="M339" s="482">
        <v>1850</v>
      </c>
      <c r="N339" s="483"/>
      <c r="O339" s="513"/>
      <c r="P339" s="514">
        <v>1850</v>
      </c>
      <c r="Q339" s="486">
        <v>15.7</v>
      </c>
      <c r="R339" s="485">
        <v>0.47</v>
      </c>
      <c r="S339" s="515">
        <v>7.1</v>
      </c>
      <c r="T339" s="516">
        <v>181</v>
      </c>
      <c r="U339" s="490">
        <v>10</v>
      </c>
      <c r="V339" s="373"/>
      <c r="W339" s="391" t="s">
        <v>511</v>
      </c>
    </row>
    <row r="340" spans="1:23">
      <c r="A340" s="476" t="s">
        <v>811</v>
      </c>
      <c r="B340" s="542">
        <v>149</v>
      </c>
      <c r="C340" s="543">
        <v>52.8</v>
      </c>
      <c r="D340" s="543">
        <v>58</v>
      </c>
      <c r="E340" s="544">
        <v>19.5</v>
      </c>
      <c r="F340" s="512"/>
      <c r="G340" s="480"/>
      <c r="H340" s="481"/>
      <c r="I340" s="482"/>
      <c r="J340" s="483"/>
      <c r="K340" s="480"/>
      <c r="L340" s="481"/>
      <c r="M340" s="482"/>
      <c r="N340" s="483">
        <v>41.73910725740906</v>
      </c>
      <c r="O340" s="513">
        <v>2200</v>
      </c>
      <c r="P340" s="514">
        <v>2200</v>
      </c>
      <c r="Q340" s="486">
        <v>15.7</v>
      </c>
      <c r="R340" s="485">
        <v>0.47</v>
      </c>
      <c r="S340" s="515">
        <v>7.1</v>
      </c>
      <c r="T340" s="516">
        <v>181</v>
      </c>
      <c r="U340" s="490">
        <v>10</v>
      </c>
      <c r="V340" s="373"/>
      <c r="W340" s="391" t="s">
        <v>511</v>
      </c>
    </row>
    <row r="341" spans="1:23">
      <c r="A341" s="476" t="s">
        <v>812</v>
      </c>
      <c r="B341" s="542">
        <v>158.9</v>
      </c>
      <c r="C341" s="543">
        <v>30.5</v>
      </c>
      <c r="D341" s="543">
        <v>61.8</v>
      </c>
      <c r="E341" s="544">
        <v>11.3</v>
      </c>
      <c r="F341" s="512"/>
      <c r="G341" s="480"/>
      <c r="H341" s="481"/>
      <c r="I341" s="482"/>
      <c r="J341" s="483"/>
      <c r="K341" s="480"/>
      <c r="L341" s="481">
        <v>54.07917434743559</v>
      </c>
      <c r="M341" s="482">
        <v>950</v>
      </c>
      <c r="N341" s="483"/>
      <c r="O341" s="513"/>
      <c r="P341" s="514">
        <v>950</v>
      </c>
      <c r="Q341" s="486">
        <v>15.7</v>
      </c>
      <c r="R341" s="485">
        <v>1.45</v>
      </c>
      <c r="S341" s="515">
        <v>23.1</v>
      </c>
      <c r="T341" s="516">
        <v>333.8</v>
      </c>
      <c r="U341" s="490">
        <v>10</v>
      </c>
      <c r="V341" s="373"/>
      <c r="W341" s="391" t="s">
        <v>511</v>
      </c>
    </row>
    <row r="342" spans="1:23">
      <c r="A342" s="476" t="s">
        <v>813</v>
      </c>
      <c r="B342" s="542">
        <v>158.9</v>
      </c>
      <c r="C342" s="543">
        <v>30.5</v>
      </c>
      <c r="D342" s="543">
        <v>61.8</v>
      </c>
      <c r="E342" s="544">
        <v>11.3</v>
      </c>
      <c r="F342" s="512"/>
      <c r="G342" s="480"/>
      <c r="H342" s="481"/>
      <c r="I342" s="482"/>
      <c r="J342" s="483"/>
      <c r="K342" s="480"/>
      <c r="L342" s="481"/>
      <c r="M342" s="482"/>
      <c r="N342" s="483">
        <v>51.89835100822674</v>
      </c>
      <c r="O342" s="513">
        <v>1150</v>
      </c>
      <c r="P342" s="514">
        <v>1150</v>
      </c>
      <c r="Q342" s="486">
        <v>15.7</v>
      </c>
      <c r="R342" s="485">
        <v>1.45</v>
      </c>
      <c r="S342" s="515">
        <v>23.1</v>
      </c>
      <c r="T342" s="516">
        <v>333.8</v>
      </c>
      <c r="U342" s="490">
        <v>10</v>
      </c>
      <c r="V342" s="373"/>
      <c r="W342" s="391" t="s">
        <v>511</v>
      </c>
    </row>
    <row r="343" spans="1:23">
      <c r="A343" s="476" t="s">
        <v>814</v>
      </c>
      <c r="B343" s="542">
        <v>120</v>
      </c>
      <c r="C343" s="543">
        <v>40</v>
      </c>
      <c r="D343" s="543">
        <v>50</v>
      </c>
      <c r="E343" s="544">
        <v>12.8</v>
      </c>
      <c r="F343" s="512"/>
      <c r="G343" s="480"/>
      <c r="H343" s="481"/>
      <c r="I343" s="482"/>
      <c r="J343" s="483"/>
      <c r="K343" s="480"/>
      <c r="L343" s="481">
        <v>28.842332447196419</v>
      </c>
      <c r="M343" s="482">
        <v>884</v>
      </c>
      <c r="N343" s="483"/>
      <c r="O343" s="513"/>
      <c r="P343" s="514">
        <v>1200</v>
      </c>
      <c r="Q343" s="486">
        <v>28</v>
      </c>
      <c r="R343" s="485">
        <v>0.91600000000000004</v>
      </c>
      <c r="S343" s="515">
        <v>7.8</v>
      </c>
      <c r="T343" s="516">
        <v>244</v>
      </c>
      <c r="U343" s="490">
        <v>38</v>
      </c>
      <c r="V343" s="373"/>
      <c r="W343" s="391" t="s">
        <v>511</v>
      </c>
    </row>
    <row r="344" spans="1:23">
      <c r="A344" s="476" t="s">
        <v>815</v>
      </c>
      <c r="B344" s="542">
        <v>120</v>
      </c>
      <c r="C344" s="543">
        <v>40</v>
      </c>
      <c r="D344" s="543">
        <v>50</v>
      </c>
      <c r="E344" s="544">
        <v>12.8</v>
      </c>
      <c r="F344" s="512"/>
      <c r="G344" s="480"/>
      <c r="H344" s="481"/>
      <c r="I344" s="482"/>
      <c r="J344" s="483"/>
      <c r="K344" s="480"/>
      <c r="L344" s="481"/>
      <c r="M344" s="482"/>
      <c r="N344" s="483">
        <v>28.842332447196419</v>
      </c>
      <c r="O344" s="513">
        <v>884</v>
      </c>
      <c r="P344" s="514">
        <v>1500</v>
      </c>
      <c r="Q344" s="486">
        <v>28</v>
      </c>
      <c r="R344" s="485">
        <v>0.91600000000000004</v>
      </c>
      <c r="S344" s="515">
        <v>7.8</v>
      </c>
      <c r="T344" s="516">
        <v>244</v>
      </c>
      <c r="U344" s="490">
        <v>38</v>
      </c>
      <c r="V344" s="373"/>
      <c r="W344" s="391" t="s">
        <v>511</v>
      </c>
    </row>
    <row r="345" spans="1:23">
      <c r="A345" s="476" t="s">
        <v>816</v>
      </c>
      <c r="B345" s="542">
        <v>227</v>
      </c>
      <c r="C345" s="543">
        <v>40</v>
      </c>
      <c r="D345" s="543">
        <v>101</v>
      </c>
      <c r="E345" s="544">
        <v>15.3</v>
      </c>
      <c r="F345" s="512"/>
      <c r="G345" s="480"/>
      <c r="H345" s="481"/>
      <c r="I345" s="482"/>
      <c r="J345" s="483"/>
      <c r="K345" s="480"/>
      <c r="L345" s="481">
        <v>69.437028028949783</v>
      </c>
      <c r="M345" s="482">
        <v>700</v>
      </c>
      <c r="N345" s="483"/>
      <c r="O345" s="513"/>
      <c r="P345" s="514">
        <v>700</v>
      </c>
      <c r="Q345" s="486">
        <v>47</v>
      </c>
      <c r="R345" s="485">
        <v>0.92100000000000004</v>
      </c>
      <c r="S345" s="515">
        <v>11</v>
      </c>
      <c r="T345" s="516">
        <v>441</v>
      </c>
      <c r="U345" s="490">
        <v>38</v>
      </c>
      <c r="V345" s="373"/>
      <c r="W345" s="391" t="s">
        <v>511</v>
      </c>
    </row>
    <row r="346" spans="1:23">
      <c r="A346" s="476" t="s">
        <v>817</v>
      </c>
      <c r="B346" s="542">
        <v>227</v>
      </c>
      <c r="C346" s="543">
        <v>40</v>
      </c>
      <c r="D346" s="543">
        <v>101</v>
      </c>
      <c r="E346" s="544">
        <v>15.3</v>
      </c>
      <c r="F346" s="512"/>
      <c r="G346" s="480"/>
      <c r="H346" s="481"/>
      <c r="I346" s="482"/>
      <c r="J346" s="483"/>
      <c r="K346" s="480"/>
      <c r="L346" s="481"/>
      <c r="M346" s="482"/>
      <c r="N346" s="483">
        <v>67.944370989854903</v>
      </c>
      <c r="O346" s="513">
        <v>721</v>
      </c>
      <c r="P346" s="514">
        <v>800</v>
      </c>
      <c r="Q346" s="486">
        <v>47</v>
      </c>
      <c r="R346" s="485">
        <v>0.92100000000000004</v>
      </c>
      <c r="S346" s="515">
        <v>11</v>
      </c>
      <c r="T346" s="516">
        <v>441</v>
      </c>
      <c r="U346" s="490">
        <v>38</v>
      </c>
      <c r="V346" s="373"/>
      <c r="W346" s="391" t="s">
        <v>511</v>
      </c>
    </row>
    <row r="347" spans="1:23">
      <c r="A347" s="476" t="s">
        <v>818</v>
      </c>
      <c r="B347" s="542">
        <v>231.2</v>
      </c>
      <c r="C347" s="543">
        <v>48</v>
      </c>
      <c r="D347" s="543">
        <v>101.6</v>
      </c>
      <c r="E347" s="544">
        <v>18.100000000000001</v>
      </c>
      <c r="F347" s="512"/>
      <c r="G347" s="480"/>
      <c r="H347" s="481"/>
      <c r="I347" s="482"/>
      <c r="J347" s="483"/>
      <c r="K347" s="480"/>
      <c r="L347" s="481">
        <v>60.041202281417512</v>
      </c>
      <c r="M347" s="482">
        <v>800</v>
      </c>
      <c r="N347" s="483"/>
      <c r="O347" s="513"/>
      <c r="P347" s="514">
        <v>800</v>
      </c>
      <c r="Q347" s="486">
        <v>47</v>
      </c>
      <c r="R347" s="485">
        <v>0.59</v>
      </c>
      <c r="S347" s="515">
        <v>7.35</v>
      </c>
      <c r="T347" s="516">
        <v>343</v>
      </c>
      <c r="U347" s="490">
        <v>38</v>
      </c>
      <c r="V347" s="373"/>
      <c r="W347" s="391" t="s">
        <v>511</v>
      </c>
    </row>
    <row r="348" spans="1:23">
      <c r="A348" s="476" t="s">
        <v>819</v>
      </c>
      <c r="B348" s="542">
        <v>231.2</v>
      </c>
      <c r="C348" s="543">
        <v>48</v>
      </c>
      <c r="D348" s="543">
        <v>101.6</v>
      </c>
      <c r="E348" s="544">
        <v>18.100000000000001</v>
      </c>
      <c r="F348" s="512"/>
      <c r="G348" s="480"/>
      <c r="H348" s="481"/>
      <c r="I348" s="482"/>
      <c r="J348" s="483"/>
      <c r="K348" s="480"/>
      <c r="L348" s="481"/>
      <c r="M348" s="482"/>
      <c r="N348" s="483">
        <v>42.207890907970643</v>
      </c>
      <c r="O348" s="513">
        <v>1000</v>
      </c>
      <c r="P348" s="514">
        <v>1000</v>
      </c>
      <c r="Q348" s="486">
        <v>47</v>
      </c>
      <c r="R348" s="485">
        <v>0.64</v>
      </c>
      <c r="S348" s="515">
        <v>7.35</v>
      </c>
      <c r="T348" s="516">
        <v>343</v>
      </c>
      <c r="U348" s="490">
        <v>38</v>
      </c>
      <c r="V348" s="373"/>
      <c r="W348" s="391" t="s">
        <v>511</v>
      </c>
    </row>
    <row r="349" spans="1:23">
      <c r="A349" s="476" t="s">
        <v>820</v>
      </c>
      <c r="B349" s="542">
        <v>309</v>
      </c>
      <c r="C349" s="543">
        <v>40</v>
      </c>
      <c r="D349" s="543">
        <v>145</v>
      </c>
      <c r="E349" s="544">
        <v>15.5</v>
      </c>
      <c r="F349" s="512"/>
      <c r="G349" s="480"/>
      <c r="H349" s="481"/>
      <c r="I349" s="482"/>
      <c r="J349" s="483"/>
      <c r="K349" s="480"/>
      <c r="L349" s="481">
        <v>109.38285179770261</v>
      </c>
      <c r="M349" s="482">
        <v>550</v>
      </c>
      <c r="N349" s="483"/>
      <c r="O349" s="513"/>
      <c r="P349" s="514">
        <v>550</v>
      </c>
      <c r="Q349" s="486">
        <v>66</v>
      </c>
      <c r="R349" s="485">
        <v>0.86699999999999999</v>
      </c>
      <c r="S349" s="515">
        <v>11</v>
      </c>
      <c r="T349" s="516">
        <v>517</v>
      </c>
      <c r="U349" s="490">
        <v>38</v>
      </c>
      <c r="V349" s="373"/>
      <c r="W349" s="391" t="s">
        <v>511</v>
      </c>
    </row>
    <row r="350" spans="1:23">
      <c r="A350" s="476" t="s">
        <v>821</v>
      </c>
      <c r="B350" s="542">
        <v>309</v>
      </c>
      <c r="C350" s="543">
        <v>40</v>
      </c>
      <c r="D350" s="543">
        <v>145</v>
      </c>
      <c r="E350" s="544">
        <v>15.5</v>
      </c>
      <c r="F350" s="512"/>
      <c r="G350" s="480"/>
      <c r="H350" s="481"/>
      <c r="I350" s="482"/>
      <c r="J350" s="483"/>
      <c r="K350" s="480"/>
      <c r="L350" s="481"/>
      <c r="M350" s="482"/>
      <c r="N350" s="483">
        <v>96.52771935511548</v>
      </c>
      <c r="O350" s="513">
        <v>646</v>
      </c>
      <c r="P350" s="514">
        <v>650</v>
      </c>
      <c r="Q350" s="486">
        <v>66</v>
      </c>
      <c r="R350" s="485">
        <v>0.86699999999999999</v>
      </c>
      <c r="S350" s="515">
        <v>11</v>
      </c>
      <c r="T350" s="516">
        <v>517</v>
      </c>
      <c r="U350" s="490">
        <v>38</v>
      </c>
      <c r="V350" s="373"/>
      <c r="W350" s="391" t="s">
        <v>511</v>
      </c>
    </row>
    <row r="351" spans="1:23">
      <c r="A351" s="476" t="s">
        <v>822</v>
      </c>
      <c r="B351" s="542">
        <v>316.60000000000002</v>
      </c>
      <c r="C351" s="543">
        <v>48</v>
      </c>
      <c r="D351" s="543">
        <v>139.4</v>
      </c>
      <c r="E351" s="544">
        <v>20</v>
      </c>
      <c r="F351" s="512"/>
      <c r="G351" s="480"/>
      <c r="H351" s="481"/>
      <c r="I351" s="482"/>
      <c r="J351" s="483"/>
      <c r="K351" s="480"/>
      <c r="L351" s="481">
        <v>87.853528586726242</v>
      </c>
      <c r="M351" s="482">
        <v>700</v>
      </c>
      <c r="N351" s="483"/>
      <c r="O351" s="513"/>
      <c r="P351" s="514">
        <v>700</v>
      </c>
      <c r="Q351" s="486">
        <v>66</v>
      </c>
      <c r="R351" s="485">
        <v>0.65</v>
      </c>
      <c r="S351" s="515">
        <v>7.54</v>
      </c>
      <c r="T351" s="516">
        <v>426</v>
      </c>
      <c r="U351" s="490">
        <v>38</v>
      </c>
      <c r="V351" s="373"/>
      <c r="W351" s="391" t="s">
        <v>511</v>
      </c>
    </row>
    <row r="352" spans="1:23">
      <c r="A352" s="476" t="s">
        <v>823</v>
      </c>
      <c r="B352" s="542">
        <v>316.60000000000002</v>
      </c>
      <c r="C352" s="543">
        <v>48</v>
      </c>
      <c r="D352" s="543">
        <v>139.4</v>
      </c>
      <c r="E352" s="544">
        <v>20</v>
      </c>
      <c r="F352" s="512"/>
      <c r="G352" s="480"/>
      <c r="H352" s="481"/>
      <c r="I352" s="482"/>
      <c r="J352" s="483"/>
      <c r="K352" s="480"/>
      <c r="L352" s="481"/>
      <c r="M352" s="482"/>
      <c r="N352" s="483">
        <v>67.322540927871728</v>
      </c>
      <c r="O352" s="513">
        <v>800</v>
      </c>
      <c r="P352" s="514">
        <v>800</v>
      </c>
      <c r="Q352" s="486">
        <v>66</v>
      </c>
      <c r="R352" s="485">
        <v>0.59</v>
      </c>
      <c r="S352" s="515">
        <v>7.54</v>
      </c>
      <c r="T352" s="516">
        <v>426</v>
      </c>
      <c r="U352" s="490">
        <v>38</v>
      </c>
      <c r="V352" s="373"/>
      <c r="W352" s="391" t="s">
        <v>511</v>
      </c>
    </row>
    <row r="353" spans="1:23">
      <c r="A353" s="476" t="s">
        <v>824</v>
      </c>
      <c r="B353" s="542">
        <v>389</v>
      </c>
      <c r="C353" s="543">
        <v>40</v>
      </c>
      <c r="D353" s="543">
        <v>188</v>
      </c>
      <c r="E353" s="544">
        <v>13.8</v>
      </c>
      <c r="F353" s="512"/>
      <c r="G353" s="480"/>
      <c r="H353" s="481"/>
      <c r="I353" s="482"/>
      <c r="J353" s="483"/>
      <c r="K353" s="480"/>
      <c r="L353" s="481">
        <v>142.7619839534301</v>
      </c>
      <c r="M353" s="482">
        <v>400</v>
      </c>
      <c r="N353" s="483"/>
      <c r="O353" s="513"/>
      <c r="P353" s="514">
        <v>400</v>
      </c>
      <c r="Q353" s="486">
        <v>123</v>
      </c>
      <c r="R353" s="485">
        <v>0.93</v>
      </c>
      <c r="S353" s="515">
        <v>13</v>
      </c>
      <c r="T353" s="516">
        <v>738</v>
      </c>
      <c r="U353" s="490">
        <v>46</v>
      </c>
      <c r="V353" s="373"/>
      <c r="W353" s="391" t="s">
        <v>511</v>
      </c>
    </row>
    <row r="354" spans="1:23">
      <c r="A354" s="476" t="s">
        <v>825</v>
      </c>
      <c r="B354" s="542">
        <v>389</v>
      </c>
      <c r="C354" s="543">
        <v>40</v>
      </c>
      <c r="D354" s="543">
        <v>188</v>
      </c>
      <c r="E354" s="544">
        <v>13.8</v>
      </c>
      <c r="F354" s="512"/>
      <c r="G354" s="480"/>
      <c r="H354" s="481"/>
      <c r="I354" s="482"/>
      <c r="J354" s="483"/>
      <c r="K354" s="480"/>
      <c r="L354" s="481"/>
      <c r="M354" s="482"/>
      <c r="N354" s="483">
        <v>121.08508070431398</v>
      </c>
      <c r="O354" s="513">
        <v>500</v>
      </c>
      <c r="P354" s="514">
        <v>500</v>
      </c>
      <c r="Q354" s="486">
        <v>123</v>
      </c>
      <c r="R354" s="485">
        <v>0.93</v>
      </c>
      <c r="S354" s="515">
        <v>13</v>
      </c>
      <c r="T354" s="516">
        <v>738</v>
      </c>
      <c r="U354" s="490">
        <v>46</v>
      </c>
      <c r="V354" s="373"/>
      <c r="W354" s="391" t="s">
        <v>511</v>
      </c>
    </row>
    <row r="355" spans="1:23">
      <c r="A355" s="476" t="s">
        <v>826</v>
      </c>
      <c r="B355" s="542">
        <v>396</v>
      </c>
      <c r="C355" s="543">
        <v>75.400000000000006</v>
      </c>
      <c r="D355" s="543">
        <v>190</v>
      </c>
      <c r="E355" s="544">
        <v>25.9</v>
      </c>
      <c r="F355" s="512"/>
      <c r="G355" s="480"/>
      <c r="H355" s="481"/>
      <c r="I355" s="482"/>
      <c r="J355" s="483"/>
      <c r="K355" s="480"/>
      <c r="L355" s="481">
        <v>123.9498696799681</v>
      </c>
      <c r="M355" s="482">
        <v>500</v>
      </c>
      <c r="N355" s="483"/>
      <c r="O355" s="513"/>
      <c r="P355" s="514">
        <v>800</v>
      </c>
      <c r="Q355" s="486">
        <v>123</v>
      </c>
      <c r="R355" s="485">
        <v>0.26100000000000001</v>
      </c>
      <c r="S355" s="515">
        <v>3.6</v>
      </c>
      <c r="T355" s="516">
        <v>398</v>
      </c>
      <c r="U355" s="490">
        <v>46</v>
      </c>
      <c r="V355" s="373"/>
      <c r="W355" s="391" t="s">
        <v>511</v>
      </c>
    </row>
    <row r="356" spans="1:23">
      <c r="A356" s="476" t="s">
        <v>827</v>
      </c>
      <c r="B356" s="542">
        <v>396</v>
      </c>
      <c r="C356" s="543">
        <v>75.400000000000006</v>
      </c>
      <c r="D356" s="543">
        <v>190</v>
      </c>
      <c r="E356" s="544">
        <v>25.9</v>
      </c>
      <c r="F356" s="512"/>
      <c r="G356" s="480"/>
      <c r="H356" s="481"/>
      <c r="I356" s="482"/>
      <c r="J356" s="483"/>
      <c r="K356" s="480"/>
      <c r="L356" s="481"/>
      <c r="M356" s="482"/>
      <c r="N356" s="483">
        <v>123.9498696799681</v>
      </c>
      <c r="O356" s="513">
        <v>500</v>
      </c>
      <c r="P356" s="514">
        <v>1000</v>
      </c>
      <c r="Q356" s="486">
        <v>123</v>
      </c>
      <c r="R356" s="485">
        <v>0.26100000000000001</v>
      </c>
      <c r="S356" s="515">
        <v>3.6</v>
      </c>
      <c r="T356" s="516">
        <v>398</v>
      </c>
      <c r="U356" s="490">
        <v>46</v>
      </c>
      <c r="V356" s="373"/>
      <c r="W356" s="391" t="s">
        <v>511</v>
      </c>
    </row>
    <row r="357" spans="1:23">
      <c r="A357" s="476" t="s">
        <v>828</v>
      </c>
      <c r="B357" s="542">
        <v>394.5</v>
      </c>
      <c r="C357" s="543">
        <v>48</v>
      </c>
      <c r="D357" s="543">
        <v>188.8</v>
      </c>
      <c r="E357" s="544">
        <v>18.8</v>
      </c>
      <c r="F357" s="512"/>
      <c r="G357" s="480"/>
      <c r="H357" s="481"/>
      <c r="I357" s="482"/>
      <c r="J357" s="483"/>
      <c r="K357" s="480"/>
      <c r="L357" s="481">
        <v>121.27606663602425</v>
      </c>
      <c r="M357" s="482">
        <v>500</v>
      </c>
      <c r="N357" s="483"/>
      <c r="O357" s="513"/>
      <c r="P357" s="514">
        <v>500</v>
      </c>
      <c r="Q357" s="486">
        <v>123</v>
      </c>
      <c r="R357" s="485">
        <v>1.1399999999999999</v>
      </c>
      <c r="S357" s="515">
        <v>8.67</v>
      </c>
      <c r="T357" s="516">
        <v>617</v>
      </c>
      <c r="U357" s="490">
        <v>46</v>
      </c>
      <c r="V357" s="373"/>
      <c r="W357" s="391" t="s">
        <v>511</v>
      </c>
    </row>
    <row r="358" spans="1:23">
      <c r="A358" s="476" t="s">
        <v>829</v>
      </c>
      <c r="B358" s="542">
        <v>394.5</v>
      </c>
      <c r="C358" s="543">
        <v>48</v>
      </c>
      <c r="D358" s="543">
        <v>188.8</v>
      </c>
      <c r="E358" s="544">
        <v>18.8</v>
      </c>
      <c r="F358" s="512"/>
      <c r="G358" s="480"/>
      <c r="H358" s="481"/>
      <c r="I358" s="482"/>
      <c r="J358" s="483"/>
      <c r="K358" s="480"/>
      <c r="L358" s="481"/>
      <c r="M358" s="482"/>
      <c r="N358" s="483">
        <v>91.35493733474793</v>
      </c>
      <c r="O358" s="513">
        <v>600</v>
      </c>
      <c r="P358" s="514">
        <v>600</v>
      </c>
      <c r="Q358" s="486">
        <v>123</v>
      </c>
      <c r="R358" s="485">
        <v>0.65</v>
      </c>
      <c r="S358" s="515">
        <v>8.67</v>
      </c>
      <c r="T358" s="516">
        <v>617</v>
      </c>
      <c r="U358" s="490">
        <v>46</v>
      </c>
      <c r="V358" s="373"/>
      <c r="W358" s="391" t="s">
        <v>511</v>
      </c>
    </row>
    <row r="359" spans="1:23">
      <c r="A359" s="476" t="s">
        <v>830</v>
      </c>
      <c r="B359" s="542">
        <v>836</v>
      </c>
      <c r="C359" s="543">
        <v>40</v>
      </c>
      <c r="D359" s="543">
        <v>361</v>
      </c>
      <c r="E359" s="544">
        <v>12.4</v>
      </c>
      <c r="F359" s="512"/>
      <c r="G359" s="480"/>
      <c r="H359" s="481"/>
      <c r="I359" s="482"/>
      <c r="J359" s="483"/>
      <c r="K359" s="480"/>
      <c r="L359" s="481">
        <v>315.60425215122842</v>
      </c>
      <c r="M359" s="482">
        <v>200</v>
      </c>
      <c r="N359" s="483"/>
      <c r="O359" s="513"/>
      <c r="P359" s="514">
        <v>200</v>
      </c>
      <c r="Q359" s="486">
        <v>225</v>
      </c>
      <c r="R359" s="485">
        <v>1.66</v>
      </c>
      <c r="S359" s="515">
        <v>29</v>
      </c>
      <c r="T359" s="516">
        <v>1584</v>
      </c>
      <c r="U359" s="490">
        <v>46</v>
      </c>
      <c r="V359" s="373"/>
      <c r="W359" s="391" t="s">
        <v>511</v>
      </c>
    </row>
    <row r="360" spans="1:23">
      <c r="A360" s="476" t="s">
        <v>831</v>
      </c>
      <c r="B360" s="542">
        <v>836</v>
      </c>
      <c r="C360" s="543">
        <v>40</v>
      </c>
      <c r="D360" s="543">
        <v>361</v>
      </c>
      <c r="E360" s="544">
        <v>12.4</v>
      </c>
      <c r="F360" s="512"/>
      <c r="G360" s="480"/>
      <c r="H360" s="481"/>
      <c r="I360" s="482"/>
      <c r="J360" s="483"/>
      <c r="K360" s="480"/>
      <c r="L360" s="481"/>
      <c r="M360" s="482"/>
      <c r="N360" s="483">
        <v>298.70199719486919</v>
      </c>
      <c r="O360" s="513">
        <v>250</v>
      </c>
      <c r="P360" s="514">
        <v>250</v>
      </c>
      <c r="Q360" s="486">
        <v>225</v>
      </c>
      <c r="R360" s="485">
        <v>1.66</v>
      </c>
      <c r="S360" s="515">
        <v>29</v>
      </c>
      <c r="T360" s="516">
        <v>1584</v>
      </c>
      <c r="U360" s="490">
        <v>46</v>
      </c>
      <c r="V360" s="373"/>
      <c r="W360" s="391" t="s">
        <v>511</v>
      </c>
    </row>
    <row r="361" spans="1:23">
      <c r="A361" s="476" t="s">
        <v>832</v>
      </c>
      <c r="B361" s="542">
        <v>742</v>
      </c>
      <c r="C361" s="543">
        <v>75.400000000000006</v>
      </c>
      <c r="D361" s="543">
        <v>361</v>
      </c>
      <c r="E361" s="544">
        <v>26.3</v>
      </c>
      <c r="F361" s="512"/>
      <c r="G361" s="480"/>
      <c r="H361" s="481"/>
      <c r="I361" s="482"/>
      <c r="J361" s="483"/>
      <c r="K361" s="480"/>
      <c r="L361" s="481">
        <v>232.08417017957396</v>
      </c>
      <c r="M361" s="482">
        <v>395</v>
      </c>
      <c r="N361" s="483"/>
      <c r="O361" s="513"/>
      <c r="P361" s="514">
        <v>400</v>
      </c>
      <c r="Q361" s="486">
        <v>225</v>
      </c>
      <c r="R361" s="485">
        <v>0.36899999999999999</v>
      </c>
      <c r="S361" s="515">
        <v>6.5</v>
      </c>
      <c r="T361" s="516">
        <v>746</v>
      </c>
      <c r="U361" s="490">
        <v>46</v>
      </c>
      <c r="V361" s="373"/>
      <c r="W361" s="391" t="s">
        <v>511</v>
      </c>
    </row>
    <row r="362" spans="1:23">
      <c r="A362" s="476" t="s">
        <v>833</v>
      </c>
      <c r="B362" s="542">
        <v>742</v>
      </c>
      <c r="C362" s="543">
        <v>75.400000000000006</v>
      </c>
      <c r="D362" s="543">
        <v>361</v>
      </c>
      <c r="E362" s="544">
        <v>26.3</v>
      </c>
      <c r="F362" s="512"/>
      <c r="G362" s="480"/>
      <c r="H362" s="481"/>
      <c r="I362" s="482"/>
      <c r="J362" s="483"/>
      <c r="K362" s="480"/>
      <c r="L362" s="481"/>
      <c r="M362" s="482"/>
      <c r="N362" s="483">
        <v>232.08417017957396</v>
      </c>
      <c r="O362" s="513">
        <v>395</v>
      </c>
      <c r="P362" s="514">
        <v>500</v>
      </c>
      <c r="Q362" s="486">
        <v>225</v>
      </c>
      <c r="R362" s="485">
        <v>0.36899999999999999</v>
      </c>
      <c r="S362" s="515">
        <v>6.5</v>
      </c>
      <c r="T362" s="516">
        <v>746</v>
      </c>
      <c r="U362" s="490">
        <v>46</v>
      </c>
      <c r="V362" s="373"/>
      <c r="W362" s="391" t="s">
        <v>511</v>
      </c>
    </row>
    <row r="363" spans="1:23">
      <c r="A363" s="476" t="s">
        <v>834</v>
      </c>
      <c r="B363" s="542">
        <v>818.3</v>
      </c>
      <c r="C363" s="543">
        <v>48</v>
      </c>
      <c r="D363" s="543">
        <v>361.7</v>
      </c>
      <c r="E363" s="544">
        <v>16.899999999999999</v>
      </c>
      <c r="F363" s="512"/>
      <c r="G363" s="480"/>
      <c r="H363" s="481"/>
      <c r="I363" s="482"/>
      <c r="J363" s="483"/>
      <c r="K363" s="480"/>
      <c r="L363" s="481">
        <v>298.70199719486919</v>
      </c>
      <c r="M363" s="482">
        <v>250</v>
      </c>
      <c r="N363" s="483"/>
      <c r="O363" s="513"/>
      <c r="P363" s="514">
        <v>250</v>
      </c>
      <c r="Q363" s="486">
        <v>225</v>
      </c>
      <c r="R363" s="485">
        <v>0.94</v>
      </c>
      <c r="S363" s="515">
        <v>19.899999999999999</v>
      </c>
      <c r="T363" s="516">
        <v>1313</v>
      </c>
      <c r="U363" s="490">
        <v>46</v>
      </c>
      <c r="V363" s="373"/>
      <c r="W363" s="391" t="s">
        <v>511</v>
      </c>
    </row>
    <row r="364" spans="1:23">
      <c r="A364" s="476" t="s">
        <v>835</v>
      </c>
      <c r="B364" s="542">
        <v>818.3</v>
      </c>
      <c r="C364" s="543">
        <v>48</v>
      </c>
      <c r="D364" s="543">
        <v>361.7</v>
      </c>
      <c r="E364" s="544">
        <v>16.899999999999999</v>
      </c>
      <c r="F364" s="512"/>
      <c r="G364" s="480"/>
      <c r="H364" s="481"/>
      <c r="I364" s="482"/>
      <c r="J364" s="483"/>
      <c r="K364" s="480"/>
      <c r="L364" s="481"/>
      <c r="M364" s="482"/>
      <c r="N364" s="483">
        <v>279.15777018318443</v>
      </c>
      <c r="O364" s="513">
        <v>300</v>
      </c>
      <c r="P364" s="514">
        <v>300</v>
      </c>
      <c r="Q364" s="486">
        <v>225</v>
      </c>
      <c r="R364" s="485">
        <v>1.1399999999999999</v>
      </c>
      <c r="S364" s="515">
        <v>19.899999999999999</v>
      </c>
      <c r="T364" s="516">
        <v>1313</v>
      </c>
      <c r="U364" s="490">
        <v>46</v>
      </c>
      <c r="V364" s="373"/>
      <c r="W364" s="391" t="s">
        <v>511</v>
      </c>
    </row>
    <row r="365" spans="1:23">
      <c r="A365" s="476" t="s">
        <v>836</v>
      </c>
      <c r="B365" s="542">
        <v>1016</v>
      </c>
      <c r="C365" s="543">
        <v>40</v>
      </c>
      <c r="D365" s="543">
        <v>504</v>
      </c>
      <c r="E365" s="544">
        <v>16.8</v>
      </c>
      <c r="F365" s="512"/>
      <c r="G365" s="480"/>
      <c r="H365" s="481"/>
      <c r="I365" s="482"/>
      <c r="J365" s="483"/>
      <c r="K365" s="480"/>
      <c r="L365" s="481">
        <v>445.23595329957726</v>
      </c>
      <c r="M365" s="482">
        <v>160</v>
      </c>
      <c r="N365" s="483"/>
      <c r="O365" s="513"/>
      <c r="P365" s="514">
        <v>160</v>
      </c>
      <c r="Q365" s="486">
        <v>302</v>
      </c>
      <c r="R365" s="485">
        <v>1.41</v>
      </c>
      <c r="S365" s="515">
        <v>26</v>
      </c>
      <c r="T365" s="516">
        <v>1837</v>
      </c>
      <c r="U365" s="490">
        <v>46</v>
      </c>
      <c r="V365" s="373"/>
      <c r="W365" s="391" t="s">
        <v>511</v>
      </c>
    </row>
    <row r="366" spans="1:23">
      <c r="A366" s="476" t="s">
        <v>837</v>
      </c>
      <c r="B366" s="542">
        <v>1016</v>
      </c>
      <c r="C366" s="543">
        <v>40</v>
      </c>
      <c r="D366" s="543">
        <v>504</v>
      </c>
      <c r="E366" s="544">
        <v>16.8</v>
      </c>
      <c r="F366" s="512"/>
      <c r="G366" s="480"/>
      <c r="H366" s="481"/>
      <c r="I366" s="482"/>
      <c r="J366" s="483"/>
      <c r="K366" s="480"/>
      <c r="L366" s="481"/>
      <c r="M366" s="482"/>
      <c r="N366" s="483">
        <v>424.94369805536053</v>
      </c>
      <c r="O366" s="513">
        <v>200</v>
      </c>
      <c r="P366" s="514">
        <v>200</v>
      </c>
      <c r="Q366" s="486">
        <v>302</v>
      </c>
      <c r="R366" s="485">
        <v>1.41</v>
      </c>
      <c r="S366" s="515">
        <v>26</v>
      </c>
      <c r="T366" s="516">
        <v>1837</v>
      </c>
      <c r="U366" s="490">
        <v>46</v>
      </c>
      <c r="V366" s="373"/>
      <c r="W366" s="391" t="s">
        <v>511</v>
      </c>
    </row>
    <row r="367" spans="1:23">
      <c r="A367" s="476" t="s">
        <v>838</v>
      </c>
      <c r="B367" s="542">
        <v>1017</v>
      </c>
      <c r="C367" s="543">
        <v>77.099999999999994</v>
      </c>
      <c r="D367" s="543">
        <v>510</v>
      </c>
      <c r="E367" s="544">
        <v>32.700000000000003</v>
      </c>
      <c r="F367" s="512"/>
      <c r="G367" s="480"/>
      <c r="H367" s="481"/>
      <c r="I367" s="482"/>
      <c r="J367" s="483"/>
      <c r="K367" s="480"/>
      <c r="L367" s="481">
        <v>326.68646213599573</v>
      </c>
      <c r="M367" s="482">
        <v>342</v>
      </c>
      <c r="N367" s="483"/>
      <c r="O367" s="513"/>
      <c r="P367" s="514">
        <v>350</v>
      </c>
      <c r="Q367" s="486">
        <v>302</v>
      </c>
      <c r="R367" s="485">
        <v>0.37</v>
      </c>
      <c r="S367" s="515">
        <v>7</v>
      </c>
      <c r="T367" s="516">
        <v>954</v>
      </c>
      <c r="U367" s="490">
        <v>46</v>
      </c>
      <c r="V367" s="373"/>
      <c r="W367" s="391" t="s">
        <v>511</v>
      </c>
    </row>
    <row r="368" spans="1:23">
      <c r="A368" s="476" t="s">
        <v>839</v>
      </c>
      <c r="B368" s="542">
        <v>1017</v>
      </c>
      <c r="C368" s="543">
        <v>77.099999999999994</v>
      </c>
      <c r="D368" s="543">
        <v>510</v>
      </c>
      <c r="E368" s="544">
        <v>32.700000000000003</v>
      </c>
      <c r="F368" s="512"/>
      <c r="G368" s="480"/>
      <c r="H368" s="481"/>
      <c r="I368" s="482"/>
      <c r="J368" s="483"/>
      <c r="K368" s="480"/>
      <c r="L368" s="481"/>
      <c r="M368" s="482"/>
      <c r="N368" s="483">
        <v>326.68646213599573</v>
      </c>
      <c r="O368" s="513">
        <v>342</v>
      </c>
      <c r="P368" s="514">
        <v>400</v>
      </c>
      <c r="Q368" s="486">
        <v>302</v>
      </c>
      <c r="R368" s="485">
        <v>0.37</v>
      </c>
      <c r="S368" s="515">
        <v>7</v>
      </c>
      <c r="T368" s="516">
        <v>954</v>
      </c>
      <c r="U368" s="490">
        <v>46</v>
      </c>
      <c r="V368" s="373"/>
      <c r="W368" s="391" t="s">
        <v>511</v>
      </c>
    </row>
    <row r="369" spans="1:23">
      <c r="A369" s="476" t="s">
        <v>840</v>
      </c>
      <c r="B369" s="542">
        <v>1072.5999999999999</v>
      </c>
      <c r="C369" s="543">
        <v>48</v>
      </c>
      <c r="D369" s="543">
        <v>498.7</v>
      </c>
      <c r="E369" s="544">
        <v>20</v>
      </c>
      <c r="F369" s="512"/>
      <c r="G369" s="480"/>
      <c r="H369" s="481"/>
      <c r="I369" s="482"/>
      <c r="J369" s="483"/>
      <c r="K369" s="480"/>
      <c r="L369" s="481">
        <v>433.53806498232291</v>
      </c>
      <c r="M369" s="482">
        <v>200</v>
      </c>
      <c r="N369" s="483"/>
      <c r="O369" s="513"/>
      <c r="P369" s="514">
        <v>200</v>
      </c>
      <c r="Q369" s="486">
        <v>302</v>
      </c>
      <c r="R369" s="485">
        <v>0.94</v>
      </c>
      <c r="S369" s="515">
        <v>18.100000000000001</v>
      </c>
      <c r="T369" s="516">
        <v>1536</v>
      </c>
      <c r="U369" s="490">
        <v>46</v>
      </c>
      <c r="V369" s="373"/>
      <c r="W369" s="391" t="s">
        <v>511</v>
      </c>
    </row>
    <row r="370" spans="1:23" ht="13.5" thickBot="1">
      <c r="A370" s="408" t="s">
        <v>841</v>
      </c>
      <c r="B370" s="545">
        <v>1072.5999999999999</v>
      </c>
      <c r="C370" s="510">
        <v>48</v>
      </c>
      <c r="D370" s="510">
        <v>498.7</v>
      </c>
      <c r="E370" s="511">
        <v>20</v>
      </c>
      <c r="F370" s="517"/>
      <c r="G370" s="518"/>
      <c r="H370" s="519"/>
      <c r="I370" s="520"/>
      <c r="J370" s="521"/>
      <c r="K370" s="518"/>
      <c r="L370" s="519"/>
      <c r="M370" s="520"/>
      <c r="N370" s="521">
        <v>377.00622919608168</v>
      </c>
      <c r="O370" s="522">
        <v>250</v>
      </c>
      <c r="P370" s="523">
        <v>250</v>
      </c>
      <c r="Q370" s="419">
        <v>302</v>
      </c>
      <c r="R370" s="418">
        <v>0.94</v>
      </c>
      <c r="S370" s="524">
        <v>18.100000000000001</v>
      </c>
      <c r="T370" s="525">
        <v>1536</v>
      </c>
      <c r="U370" s="423">
        <v>46</v>
      </c>
      <c r="V370" s="373"/>
      <c r="W370" s="391" t="s">
        <v>511</v>
      </c>
    </row>
    <row r="371" spans="1:23">
      <c r="A371" s="552" t="s">
        <v>842</v>
      </c>
      <c r="B371" s="553">
        <v>1.17</v>
      </c>
      <c r="C371" s="554">
        <v>4.33</v>
      </c>
      <c r="D371" s="554">
        <v>0.48699999999999999</v>
      </c>
      <c r="E371" s="555">
        <v>1.73</v>
      </c>
      <c r="F371" s="556"/>
      <c r="G371" s="557"/>
      <c r="H371" s="558">
        <v>0.44870188775305436</v>
      </c>
      <c r="I371" s="559">
        <v>4150</v>
      </c>
      <c r="J371" s="560"/>
      <c r="K371" s="557"/>
      <c r="L371" s="558"/>
      <c r="M371" s="559"/>
      <c r="N371" s="560"/>
      <c r="O371" s="561"/>
      <c r="P371" s="562">
        <v>6565</v>
      </c>
      <c r="Q371" s="563">
        <v>4.9200000000000008E-3</v>
      </c>
      <c r="R371" s="564">
        <v>13</v>
      </c>
      <c r="S371" s="565">
        <v>19</v>
      </c>
      <c r="T371" s="566">
        <v>17.382100000000001</v>
      </c>
      <c r="U371" s="567">
        <v>6</v>
      </c>
      <c r="V371" s="373"/>
      <c r="W371" s="391" t="s">
        <v>511</v>
      </c>
    </row>
    <row r="372" spans="1:23">
      <c r="A372" s="476" t="s">
        <v>843</v>
      </c>
      <c r="B372" s="542">
        <v>1.17</v>
      </c>
      <c r="C372" s="543">
        <v>4.33</v>
      </c>
      <c r="D372" s="543">
        <v>0.48699999999999999</v>
      </c>
      <c r="E372" s="544">
        <v>1.73</v>
      </c>
      <c r="F372" s="512"/>
      <c r="G372" s="480"/>
      <c r="H372" s="481"/>
      <c r="I372" s="482"/>
      <c r="J372" s="483">
        <v>0.414767427451606</v>
      </c>
      <c r="K372" s="480">
        <v>9900</v>
      </c>
      <c r="L372" s="481"/>
      <c r="M372" s="482"/>
      <c r="N372" s="483"/>
      <c r="O372" s="513"/>
      <c r="P372" s="514">
        <v>13766</v>
      </c>
      <c r="Q372" s="486">
        <v>4.9200000000000008E-3</v>
      </c>
      <c r="R372" s="485">
        <v>13</v>
      </c>
      <c r="S372" s="515">
        <v>19</v>
      </c>
      <c r="T372" s="516">
        <v>17.382100000000001</v>
      </c>
      <c r="U372" s="490">
        <v>6</v>
      </c>
      <c r="V372" s="373"/>
      <c r="W372" s="391" t="s">
        <v>511</v>
      </c>
    </row>
    <row r="373" spans="1:23">
      <c r="A373" s="476" t="s">
        <v>844</v>
      </c>
      <c r="B373" s="542">
        <v>1.17</v>
      </c>
      <c r="C373" s="543">
        <v>4.33</v>
      </c>
      <c r="D373" s="543">
        <v>0.48699999999999999</v>
      </c>
      <c r="E373" s="544">
        <v>1.73</v>
      </c>
      <c r="F373" s="512"/>
      <c r="G373" s="480"/>
      <c r="H373" s="481"/>
      <c r="I373" s="482"/>
      <c r="J373" s="483"/>
      <c r="K373" s="480"/>
      <c r="L373" s="481">
        <v>0.36804580590000802</v>
      </c>
      <c r="M373" s="482">
        <v>14400</v>
      </c>
      <c r="N373" s="483"/>
      <c r="O373" s="513"/>
      <c r="P373" s="514">
        <v>16000</v>
      </c>
      <c r="Q373" s="486">
        <v>4.9200000000000008E-3</v>
      </c>
      <c r="R373" s="485">
        <v>13</v>
      </c>
      <c r="S373" s="515">
        <v>19</v>
      </c>
      <c r="T373" s="516">
        <v>17.382100000000001</v>
      </c>
      <c r="U373" s="490">
        <v>6</v>
      </c>
      <c r="V373" s="373"/>
      <c r="W373" s="391" t="s">
        <v>511</v>
      </c>
    </row>
    <row r="374" spans="1:23">
      <c r="A374" s="476" t="s">
        <v>845</v>
      </c>
      <c r="B374" s="542">
        <v>1.19</v>
      </c>
      <c r="C374" s="543">
        <v>8.6999999999999993</v>
      </c>
      <c r="D374" s="543">
        <v>0.50900000000000001</v>
      </c>
      <c r="E374" s="544">
        <v>3.37</v>
      </c>
      <c r="F374" s="512"/>
      <c r="G374" s="480"/>
      <c r="H374" s="481">
        <v>0.4297183463481174</v>
      </c>
      <c r="I374" s="482">
        <v>9000</v>
      </c>
      <c r="J374" s="483"/>
      <c r="K374" s="480"/>
      <c r="L374" s="481"/>
      <c r="M374" s="482"/>
      <c r="N374" s="483"/>
      <c r="O374" s="513"/>
      <c r="P374" s="514">
        <v>12319</v>
      </c>
      <c r="Q374" s="486">
        <v>4.9200000000000008E-3</v>
      </c>
      <c r="R374" s="485">
        <v>3.42</v>
      </c>
      <c r="S374" s="515">
        <v>5.2</v>
      </c>
      <c r="T374" s="516">
        <v>9.3041110000000007</v>
      </c>
      <c r="U374" s="490">
        <v>6</v>
      </c>
      <c r="V374" s="373"/>
      <c r="W374" s="391" t="s">
        <v>511</v>
      </c>
    </row>
    <row r="375" spans="1:23">
      <c r="A375" s="476" t="s">
        <v>846</v>
      </c>
      <c r="B375" s="542">
        <v>1.19</v>
      </c>
      <c r="C375" s="543">
        <v>8.6999999999999993</v>
      </c>
      <c r="D375" s="543">
        <v>0.50900000000000001</v>
      </c>
      <c r="E375" s="544">
        <v>3.37</v>
      </c>
      <c r="F375" s="512"/>
      <c r="G375" s="480"/>
      <c r="H375" s="481"/>
      <c r="I375" s="482"/>
      <c r="J375" s="483">
        <v>0.30970691628693148</v>
      </c>
      <c r="K375" s="480">
        <v>18500</v>
      </c>
      <c r="L375" s="481"/>
      <c r="M375" s="482"/>
      <c r="N375" s="483"/>
      <c r="O375" s="513"/>
      <c r="P375" s="514">
        <v>20000</v>
      </c>
      <c r="Q375" s="486">
        <v>4.9200000000000008E-3</v>
      </c>
      <c r="R375" s="485">
        <v>3.42</v>
      </c>
      <c r="S375" s="515">
        <v>5.2</v>
      </c>
      <c r="T375" s="516">
        <v>9.3041110000000007</v>
      </c>
      <c r="U375" s="490">
        <v>6</v>
      </c>
      <c r="V375" s="373"/>
      <c r="W375" s="391" t="s">
        <v>511</v>
      </c>
    </row>
    <row r="376" spans="1:23">
      <c r="A376" s="476" t="s">
        <v>847</v>
      </c>
      <c r="B376" s="542">
        <v>1.23</v>
      </c>
      <c r="C376" s="543">
        <v>13.8</v>
      </c>
      <c r="D376" s="543">
        <v>0.49199999999999999</v>
      </c>
      <c r="E376" s="544">
        <v>5.21</v>
      </c>
      <c r="F376" s="512"/>
      <c r="G376" s="480"/>
      <c r="H376" s="481">
        <v>0.34500684437985052</v>
      </c>
      <c r="I376" s="482">
        <v>15500</v>
      </c>
      <c r="J376" s="483"/>
      <c r="K376" s="480"/>
      <c r="L376" s="481"/>
      <c r="M376" s="482"/>
      <c r="N376" s="483"/>
      <c r="O376" s="513"/>
      <c r="P376" s="514">
        <v>19702</v>
      </c>
      <c r="Q376" s="486">
        <v>4.9200000000000008E-3</v>
      </c>
      <c r="R376" s="485">
        <v>1.44</v>
      </c>
      <c r="S376" s="515">
        <v>2.2000000000000002</v>
      </c>
      <c r="T376" s="516">
        <v>5.8349039999999999</v>
      </c>
      <c r="U376" s="490">
        <v>6</v>
      </c>
      <c r="V376" s="373"/>
      <c r="W376" s="391" t="s">
        <v>511</v>
      </c>
    </row>
    <row r="377" spans="1:23">
      <c r="A377" s="476" t="s">
        <v>848</v>
      </c>
      <c r="B377" s="542">
        <v>1.23</v>
      </c>
      <c r="C377" s="543">
        <v>13.8</v>
      </c>
      <c r="D377" s="543">
        <v>0.49199999999999999</v>
      </c>
      <c r="E377" s="544">
        <v>5.21</v>
      </c>
      <c r="F377" s="512"/>
      <c r="G377" s="480"/>
      <c r="H377" s="481"/>
      <c r="I377" s="482"/>
      <c r="J377" s="483">
        <v>0.29520674928335428</v>
      </c>
      <c r="K377" s="480">
        <v>18600</v>
      </c>
      <c r="L377" s="481"/>
      <c r="M377" s="482"/>
      <c r="N377" s="483"/>
      <c r="O377" s="513"/>
      <c r="P377" s="514">
        <v>20000</v>
      </c>
      <c r="Q377" s="486">
        <v>4.9200000000000008E-3</v>
      </c>
      <c r="R377" s="485">
        <v>1.44</v>
      </c>
      <c r="S377" s="515">
        <v>2.2000000000000002</v>
      </c>
      <c r="T377" s="516">
        <v>5.8349039999999999</v>
      </c>
      <c r="U377" s="490">
        <v>6</v>
      </c>
      <c r="V377" s="373"/>
      <c r="W377" s="391" t="s">
        <v>511</v>
      </c>
    </row>
    <row r="378" spans="1:23">
      <c r="A378" s="476" t="s">
        <v>849</v>
      </c>
      <c r="B378" s="542">
        <v>2.33</v>
      </c>
      <c r="C378" s="543">
        <v>4.33</v>
      </c>
      <c r="D378" s="543">
        <v>0.876</v>
      </c>
      <c r="E378" s="544">
        <v>1.53</v>
      </c>
      <c r="F378" s="512"/>
      <c r="G378" s="480"/>
      <c r="H378" s="481">
        <v>0.85343954991306192</v>
      </c>
      <c r="I378" s="482">
        <v>2070</v>
      </c>
      <c r="J378" s="483"/>
      <c r="K378" s="480"/>
      <c r="L378" s="481"/>
      <c r="M378" s="482"/>
      <c r="N378" s="483"/>
      <c r="O378" s="513"/>
      <c r="P378" s="514">
        <v>3359</v>
      </c>
      <c r="Q378" s="486">
        <v>1.03E-2</v>
      </c>
      <c r="R378" s="485">
        <v>20</v>
      </c>
      <c r="S378" s="515">
        <v>36</v>
      </c>
      <c r="T378" s="516">
        <v>35.4</v>
      </c>
      <c r="U378" s="490">
        <v>6</v>
      </c>
      <c r="V378" s="373"/>
      <c r="W378" s="391" t="s">
        <v>511</v>
      </c>
    </row>
    <row r="379" spans="1:23">
      <c r="A379" s="476" t="s">
        <v>850</v>
      </c>
      <c r="B379" s="542">
        <v>2.33</v>
      </c>
      <c r="C379" s="543">
        <v>4.33</v>
      </c>
      <c r="D379" s="543">
        <v>0.876</v>
      </c>
      <c r="E379" s="544">
        <v>1.53</v>
      </c>
      <c r="F379" s="512"/>
      <c r="G379" s="480"/>
      <c r="H379" s="481"/>
      <c r="I379" s="482"/>
      <c r="J379" s="483">
        <v>0.79409940026903569</v>
      </c>
      <c r="K379" s="480">
        <v>4750</v>
      </c>
      <c r="L379" s="481"/>
      <c r="M379" s="482"/>
      <c r="N379" s="483"/>
      <c r="O379" s="513"/>
      <c r="P379" s="514">
        <v>6753</v>
      </c>
      <c r="Q379" s="486">
        <v>1.03E-2</v>
      </c>
      <c r="R379" s="485">
        <v>20</v>
      </c>
      <c r="S379" s="515">
        <v>36</v>
      </c>
      <c r="T379" s="516">
        <v>35.4</v>
      </c>
      <c r="U379" s="490">
        <v>6</v>
      </c>
      <c r="V379" s="373"/>
      <c r="W379" s="391" t="s">
        <v>511</v>
      </c>
    </row>
    <row r="380" spans="1:23">
      <c r="A380" s="476" t="s">
        <v>851</v>
      </c>
      <c r="B380" s="542">
        <v>2.33</v>
      </c>
      <c r="C380" s="543">
        <v>4.33</v>
      </c>
      <c r="D380" s="543">
        <v>0.876</v>
      </c>
      <c r="E380" s="544">
        <v>1.53</v>
      </c>
      <c r="F380" s="512"/>
      <c r="G380" s="480"/>
      <c r="H380" s="481"/>
      <c r="I380" s="482"/>
      <c r="J380" s="483"/>
      <c r="K380" s="480"/>
      <c r="L380" s="481">
        <v>0.70832694452986378</v>
      </c>
      <c r="M380" s="482">
        <v>9100</v>
      </c>
      <c r="N380" s="483"/>
      <c r="O380" s="513"/>
      <c r="P380" s="514">
        <v>11291</v>
      </c>
      <c r="Q380" s="486">
        <v>1.03E-2</v>
      </c>
      <c r="R380" s="485">
        <v>20</v>
      </c>
      <c r="S380" s="515">
        <v>36</v>
      </c>
      <c r="T380" s="516">
        <v>35.4</v>
      </c>
      <c r="U380" s="490">
        <v>6</v>
      </c>
      <c r="V380" s="373"/>
      <c r="W380" s="391" t="s">
        <v>511</v>
      </c>
    </row>
    <row r="381" spans="1:23">
      <c r="A381" s="476" t="s">
        <v>852</v>
      </c>
      <c r="B381" s="542">
        <v>2.33</v>
      </c>
      <c r="C381" s="543">
        <v>4.33</v>
      </c>
      <c r="D381" s="543">
        <v>0.876</v>
      </c>
      <c r="E381" s="544">
        <v>1.53</v>
      </c>
      <c r="F381" s="512"/>
      <c r="G381" s="480"/>
      <c r="H381" s="481"/>
      <c r="I381" s="482"/>
      <c r="J381" s="483"/>
      <c r="K381" s="480"/>
      <c r="L381" s="481"/>
      <c r="M381" s="482"/>
      <c r="N381" s="483">
        <v>0.64240722484365043</v>
      </c>
      <c r="O381" s="513">
        <v>11000</v>
      </c>
      <c r="P381" s="514">
        <v>13564</v>
      </c>
      <c r="Q381" s="486">
        <v>1.03E-2</v>
      </c>
      <c r="R381" s="485">
        <v>20</v>
      </c>
      <c r="S381" s="515">
        <v>36</v>
      </c>
      <c r="T381" s="516">
        <v>35.4</v>
      </c>
      <c r="U381" s="490">
        <v>6</v>
      </c>
      <c r="V381" s="373"/>
      <c r="W381" s="391" t="s">
        <v>511</v>
      </c>
    </row>
    <row r="382" spans="1:23">
      <c r="A382" s="476" t="s">
        <v>853</v>
      </c>
      <c r="B382" s="542">
        <v>2.48</v>
      </c>
      <c r="C382" s="543">
        <v>8.65</v>
      </c>
      <c r="D382" s="543">
        <v>0.89900000000000002</v>
      </c>
      <c r="E382" s="544">
        <v>2.99</v>
      </c>
      <c r="F382" s="512"/>
      <c r="G382" s="480"/>
      <c r="H382" s="481">
        <v>0.82321522288911386</v>
      </c>
      <c r="I382" s="482">
        <v>4350</v>
      </c>
      <c r="J382" s="483"/>
      <c r="K382" s="480"/>
      <c r="L382" s="481"/>
      <c r="M382" s="482"/>
      <c r="N382" s="483"/>
      <c r="O382" s="513"/>
      <c r="P382" s="514">
        <v>6174</v>
      </c>
      <c r="Q382" s="486">
        <v>1.03E-2</v>
      </c>
      <c r="R382" s="485">
        <v>5.22</v>
      </c>
      <c r="S382" s="515">
        <v>9.6999999999999993</v>
      </c>
      <c r="T382" s="516">
        <v>18.536100000000001</v>
      </c>
      <c r="U382" s="490">
        <v>6</v>
      </c>
      <c r="V382" s="373"/>
      <c r="W382" s="391" t="s">
        <v>511</v>
      </c>
    </row>
    <row r="383" spans="1:23">
      <c r="A383" s="476" t="s">
        <v>854</v>
      </c>
      <c r="B383" s="542">
        <v>2.48</v>
      </c>
      <c r="C383" s="543">
        <v>8.65</v>
      </c>
      <c r="D383" s="543">
        <v>0.89900000000000002</v>
      </c>
      <c r="E383" s="544">
        <v>2.99</v>
      </c>
      <c r="F383" s="512"/>
      <c r="G383" s="480"/>
      <c r="H383" s="481"/>
      <c r="I383" s="482"/>
      <c r="J383" s="483">
        <v>0.70664794732801528</v>
      </c>
      <c r="K383" s="480">
        <v>10000</v>
      </c>
      <c r="L383" s="481"/>
      <c r="M383" s="482"/>
      <c r="N383" s="483"/>
      <c r="O383" s="513"/>
      <c r="P383" s="514">
        <v>12944</v>
      </c>
      <c r="Q383" s="486">
        <v>1.03E-2</v>
      </c>
      <c r="R383" s="485">
        <v>5.22</v>
      </c>
      <c r="S383" s="515">
        <v>9.6999999999999993</v>
      </c>
      <c r="T383" s="516">
        <v>18.536100000000001</v>
      </c>
      <c r="U383" s="490">
        <v>6</v>
      </c>
      <c r="V383" s="373"/>
      <c r="W383" s="391" t="s">
        <v>511</v>
      </c>
    </row>
    <row r="384" spans="1:23">
      <c r="A384" s="476" t="s">
        <v>855</v>
      </c>
      <c r="B384" s="542">
        <v>2.48</v>
      </c>
      <c r="C384" s="543">
        <v>8.65</v>
      </c>
      <c r="D384" s="543">
        <v>0.89900000000000002</v>
      </c>
      <c r="E384" s="544">
        <v>2.99</v>
      </c>
      <c r="F384" s="512"/>
      <c r="G384" s="480"/>
      <c r="H384" s="481"/>
      <c r="I384" s="482"/>
      <c r="J384" s="483"/>
      <c r="K384" s="480"/>
      <c r="L384" s="481">
        <v>0.49317090918607037</v>
      </c>
      <c r="M384" s="482">
        <v>15200</v>
      </c>
      <c r="N384" s="483"/>
      <c r="O384" s="513"/>
      <c r="P384" s="514">
        <v>16000</v>
      </c>
      <c r="Q384" s="486">
        <v>1.03E-2</v>
      </c>
      <c r="R384" s="485">
        <v>5.22</v>
      </c>
      <c r="S384" s="515">
        <v>9.6999999999999993</v>
      </c>
      <c r="T384" s="516">
        <v>18.536000000000001</v>
      </c>
      <c r="U384" s="490">
        <v>6</v>
      </c>
      <c r="V384" s="373"/>
      <c r="W384" s="391" t="s">
        <v>511</v>
      </c>
    </row>
    <row r="385" spans="1:23">
      <c r="A385" s="476" t="s">
        <v>856</v>
      </c>
      <c r="B385" s="542">
        <v>2.2400000000000002</v>
      </c>
      <c r="C385" s="543">
        <v>15.5</v>
      </c>
      <c r="D385" s="543">
        <v>0.86799999999999999</v>
      </c>
      <c r="E385" s="544">
        <v>5.14</v>
      </c>
      <c r="F385" s="512"/>
      <c r="G385" s="480"/>
      <c r="H385" s="481">
        <v>0.70215416069953829</v>
      </c>
      <c r="I385" s="482">
        <v>8500</v>
      </c>
      <c r="J385" s="483"/>
      <c r="K385" s="480"/>
      <c r="L385" s="481"/>
      <c r="M385" s="482"/>
      <c r="N385" s="483"/>
      <c r="O385" s="513"/>
      <c r="P385" s="514">
        <v>11008</v>
      </c>
      <c r="Q385" s="486">
        <v>1.03E-2</v>
      </c>
      <c r="R385" s="485">
        <v>1.77</v>
      </c>
      <c r="S385" s="515">
        <v>3.2</v>
      </c>
      <c r="T385" s="516">
        <v>10.46</v>
      </c>
      <c r="U385" s="490">
        <v>6</v>
      </c>
      <c r="V385" s="373"/>
      <c r="W385" s="391" t="s">
        <v>511</v>
      </c>
    </row>
    <row r="386" spans="1:23">
      <c r="A386" s="476" t="s">
        <v>857</v>
      </c>
      <c r="B386" s="542">
        <v>2.2400000000000002</v>
      </c>
      <c r="C386" s="543">
        <v>15.5</v>
      </c>
      <c r="D386" s="543">
        <v>0.86799999999999999</v>
      </c>
      <c r="E386" s="544">
        <v>5.14</v>
      </c>
      <c r="F386" s="512"/>
      <c r="G386" s="480"/>
      <c r="H386" s="481"/>
      <c r="I386" s="482"/>
      <c r="J386" s="483">
        <v>0.25034642399860291</v>
      </c>
      <c r="K386" s="480">
        <v>18500</v>
      </c>
      <c r="L386" s="481"/>
      <c r="M386" s="482"/>
      <c r="N386" s="483"/>
      <c r="O386" s="513"/>
      <c r="P386" s="514">
        <v>20000</v>
      </c>
      <c r="Q386" s="486">
        <v>1.03E-2</v>
      </c>
      <c r="R386" s="485">
        <v>1.77</v>
      </c>
      <c r="S386" s="515">
        <v>3.2</v>
      </c>
      <c r="T386" s="516">
        <v>10.46</v>
      </c>
      <c r="U386" s="490">
        <v>6</v>
      </c>
      <c r="V386" s="373"/>
      <c r="W386" s="391" t="s">
        <v>511</v>
      </c>
    </row>
    <row r="387" spans="1:23">
      <c r="A387" s="476" t="s">
        <v>858</v>
      </c>
      <c r="B387" s="542">
        <v>3.46</v>
      </c>
      <c r="C387" s="543">
        <v>4.8600000000000003</v>
      </c>
      <c r="D387" s="543">
        <v>1.1579999999999999</v>
      </c>
      <c r="E387" s="544">
        <v>1.54</v>
      </c>
      <c r="F387" s="512"/>
      <c r="G387" s="480"/>
      <c r="H387" s="481">
        <v>1.0725659208366858</v>
      </c>
      <c r="I387" s="482">
        <v>1380</v>
      </c>
      <c r="J387" s="483"/>
      <c r="K387" s="480"/>
      <c r="L387" s="481"/>
      <c r="M387" s="482"/>
      <c r="N387" s="483"/>
      <c r="O387" s="513"/>
      <c r="P387" s="514">
        <v>2455</v>
      </c>
      <c r="Q387" s="486">
        <v>1.55E-2</v>
      </c>
      <c r="R387" s="485">
        <v>21.2</v>
      </c>
      <c r="S387" s="515">
        <v>41</v>
      </c>
      <c r="T387" s="516">
        <v>46.4</v>
      </c>
      <c r="U387" s="490">
        <v>6</v>
      </c>
      <c r="V387" s="373"/>
      <c r="W387" s="391" t="s">
        <v>511</v>
      </c>
    </row>
    <row r="388" spans="1:23">
      <c r="A388" s="476" t="s">
        <v>859</v>
      </c>
      <c r="B388" s="542">
        <v>3.46</v>
      </c>
      <c r="C388" s="543">
        <v>4.8600000000000003</v>
      </c>
      <c r="D388" s="543">
        <v>1.1579999999999999</v>
      </c>
      <c r="E388" s="544">
        <v>1.54</v>
      </c>
      <c r="F388" s="512"/>
      <c r="G388" s="480"/>
      <c r="H388" s="481"/>
      <c r="I388" s="482"/>
      <c r="J388" s="483">
        <v>1.0203357995480415</v>
      </c>
      <c r="K388" s="480">
        <v>3650</v>
      </c>
      <c r="L388" s="481"/>
      <c r="M388" s="482"/>
      <c r="N388" s="483"/>
      <c r="O388" s="513"/>
      <c r="P388" s="514">
        <v>5155</v>
      </c>
      <c r="Q388" s="486">
        <v>1.55E-2</v>
      </c>
      <c r="R388" s="485">
        <v>21.2</v>
      </c>
      <c r="S388" s="515">
        <v>41</v>
      </c>
      <c r="T388" s="516">
        <v>46.4</v>
      </c>
      <c r="U388" s="490">
        <v>6</v>
      </c>
      <c r="V388" s="373"/>
      <c r="W388" s="391" t="s">
        <v>511</v>
      </c>
    </row>
    <row r="389" spans="1:23">
      <c r="A389" s="476" t="s">
        <v>860</v>
      </c>
      <c r="B389" s="542">
        <v>3.46</v>
      </c>
      <c r="C389" s="543">
        <v>4.8600000000000003</v>
      </c>
      <c r="D389" s="543">
        <v>1.1579999999999999</v>
      </c>
      <c r="E389" s="544">
        <v>1.54</v>
      </c>
      <c r="F389" s="512"/>
      <c r="G389" s="480"/>
      <c r="H389" s="481"/>
      <c r="I389" s="482"/>
      <c r="J389" s="483"/>
      <c r="K389" s="480"/>
      <c r="L389" s="481">
        <v>0.98952855922352334</v>
      </c>
      <c r="M389" s="482">
        <v>6900</v>
      </c>
      <c r="N389" s="483"/>
      <c r="O389" s="513"/>
      <c r="P389" s="514">
        <v>8619</v>
      </c>
      <c r="Q389" s="486">
        <v>1.55E-2</v>
      </c>
      <c r="R389" s="485">
        <v>21.2</v>
      </c>
      <c r="S389" s="515">
        <v>41</v>
      </c>
      <c r="T389" s="516">
        <v>46.4</v>
      </c>
      <c r="U389" s="490">
        <v>6</v>
      </c>
      <c r="V389" s="373"/>
      <c r="W389" s="391" t="s">
        <v>511</v>
      </c>
    </row>
    <row r="390" spans="1:23">
      <c r="A390" s="476" t="s">
        <v>861</v>
      </c>
      <c r="B390" s="542">
        <v>3.46</v>
      </c>
      <c r="C390" s="543">
        <v>4.8600000000000003</v>
      </c>
      <c r="D390" s="543">
        <v>1.1579999999999999</v>
      </c>
      <c r="E390" s="544">
        <v>1.54</v>
      </c>
      <c r="F390" s="512"/>
      <c r="G390" s="480"/>
      <c r="H390" s="481"/>
      <c r="I390" s="482"/>
      <c r="J390" s="483"/>
      <c r="K390" s="480"/>
      <c r="L390" s="481"/>
      <c r="M390" s="482"/>
      <c r="N390" s="483">
        <v>0.87628839255302382</v>
      </c>
      <c r="O390" s="513">
        <v>8500</v>
      </c>
      <c r="P390" s="514">
        <v>10354</v>
      </c>
      <c r="Q390" s="486">
        <v>1.55E-2</v>
      </c>
      <c r="R390" s="485">
        <v>21.2</v>
      </c>
      <c r="S390" s="515">
        <v>41</v>
      </c>
      <c r="T390" s="516">
        <v>46.4</v>
      </c>
      <c r="U390" s="490">
        <v>6</v>
      </c>
      <c r="V390" s="373"/>
      <c r="W390" s="391" t="s">
        <v>511</v>
      </c>
    </row>
    <row r="391" spans="1:23">
      <c r="A391" s="476" t="s">
        <v>862</v>
      </c>
      <c r="B391" s="542">
        <v>3.57</v>
      </c>
      <c r="C391" s="543">
        <v>7.73</v>
      </c>
      <c r="D391" s="543">
        <v>1.17</v>
      </c>
      <c r="E391" s="544">
        <v>2.4</v>
      </c>
      <c r="F391" s="512"/>
      <c r="G391" s="480"/>
      <c r="H391" s="481">
        <v>1.0672743242632983</v>
      </c>
      <c r="I391" s="482">
        <v>2550</v>
      </c>
      <c r="J391" s="483"/>
      <c r="K391" s="480"/>
      <c r="L391" s="481"/>
      <c r="M391" s="482"/>
      <c r="N391" s="483"/>
      <c r="O391" s="513"/>
      <c r="P391" s="514">
        <v>3799</v>
      </c>
      <c r="Q391" s="486">
        <v>1.55E-2</v>
      </c>
      <c r="R391" s="485">
        <v>8.77</v>
      </c>
      <c r="S391" s="515">
        <v>17</v>
      </c>
      <c r="T391" s="516">
        <v>30</v>
      </c>
      <c r="U391" s="490">
        <v>6</v>
      </c>
      <c r="V391" s="373"/>
      <c r="W391" s="391" t="s">
        <v>511</v>
      </c>
    </row>
    <row r="392" spans="1:23">
      <c r="A392" s="476" t="s">
        <v>863</v>
      </c>
      <c r="B392" s="542">
        <v>3.57</v>
      </c>
      <c r="C392" s="543">
        <v>7.73</v>
      </c>
      <c r="D392" s="543">
        <v>1.17</v>
      </c>
      <c r="E392" s="544">
        <v>2.4</v>
      </c>
      <c r="F392" s="512"/>
      <c r="G392" s="480"/>
      <c r="H392" s="481"/>
      <c r="I392" s="482"/>
      <c r="J392" s="483">
        <v>0.98185139021865797</v>
      </c>
      <c r="K392" s="480">
        <v>6030</v>
      </c>
      <c r="L392" s="481"/>
      <c r="M392" s="482"/>
      <c r="N392" s="483"/>
      <c r="O392" s="513"/>
      <c r="P392" s="514">
        <v>7967</v>
      </c>
      <c r="Q392" s="486">
        <v>1.55E-2</v>
      </c>
      <c r="R392" s="485">
        <v>8.77</v>
      </c>
      <c r="S392" s="515">
        <v>17</v>
      </c>
      <c r="T392" s="516">
        <v>30</v>
      </c>
      <c r="U392" s="490">
        <v>6</v>
      </c>
      <c r="V392" s="373"/>
      <c r="W392" s="391" t="s">
        <v>511</v>
      </c>
    </row>
    <row r="393" spans="1:23">
      <c r="A393" s="476" t="s">
        <v>864</v>
      </c>
      <c r="B393" s="542">
        <v>3.57</v>
      </c>
      <c r="C393" s="543">
        <v>7.73</v>
      </c>
      <c r="D393" s="543">
        <v>1.17</v>
      </c>
      <c r="E393" s="544">
        <v>2.4</v>
      </c>
      <c r="F393" s="512"/>
      <c r="G393" s="480"/>
      <c r="H393" s="481"/>
      <c r="I393" s="482"/>
      <c r="J393" s="483"/>
      <c r="K393" s="480"/>
      <c r="L393" s="481">
        <v>0.73391973757660023</v>
      </c>
      <c r="M393" s="482">
        <v>11450</v>
      </c>
      <c r="N393" s="483"/>
      <c r="O393" s="513"/>
      <c r="P393" s="514">
        <v>13319</v>
      </c>
      <c r="Q393" s="486">
        <v>1.55E-2</v>
      </c>
      <c r="R393" s="485">
        <v>8.77</v>
      </c>
      <c r="S393" s="515">
        <v>17</v>
      </c>
      <c r="T393" s="516">
        <v>30</v>
      </c>
      <c r="U393" s="490">
        <v>6</v>
      </c>
      <c r="V393" s="373"/>
      <c r="W393" s="391" t="s">
        <v>511</v>
      </c>
    </row>
    <row r="394" spans="1:23">
      <c r="A394" s="476" t="s">
        <v>865</v>
      </c>
      <c r="B394" s="542">
        <v>3.57</v>
      </c>
      <c r="C394" s="543">
        <v>7.73</v>
      </c>
      <c r="D394" s="543">
        <v>1.17</v>
      </c>
      <c r="E394" s="544">
        <v>2.4</v>
      </c>
      <c r="F394" s="512"/>
      <c r="G394" s="480"/>
      <c r="H394" s="481"/>
      <c r="I394" s="482"/>
      <c r="J394" s="483"/>
      <c r="K394" s="480"/>
      <c r="L394" s="481"/>
      <c r="M394" s="482"/>
      <c r="N394" s="483">
        <v>0.49415940372588485</v>
      </c>
      <c r="O394" s="513">
        <v>14300</v>
      </c>
      <c r="P394" s="514">
        <v>16000</v>
      </c>
      <c r="Q394" s="486">
        <v>1.55E-2</v>
      </c>
      <c r="R394" s="485">
        <v>8.77</v>
      </c>
      <c r="S394" s="515">
        <v>17</v>
      </c>
      <c r="T394" s="516">
        <v>30</v>
      </c>
      <c r="U394" s="490">
        <v>6</v>
      </c>
      <c r="V394" s="373"/>
      <c r="W394" s="391" t="s">
        <v>511</v>
      </c>
    </row>
    <row r="395" spans="1:23">
      <c r="A395" s="476" t="s">
        <v>866</v>
      </c>
      <c r="B395" s="542">
        <v>3.58</v>
      </c>
      <c r="C395" s="543">
        <v>9.7200000000000006</v>
      </c>
      <c r="D395" s="543">
        <v>1.19</v>
      </c>
      <c r="E395" s="544">
        <v>3.05</v>
      </c>
      <c r="F395" s="512"/>
      <c r="G395" s="480"/>
      <c r="H395" s="481">
        <v>1.0724594626807715</v>
      </c>
      <c r="I395" s="482">
        <v>3250</v>
      </c>
      <c r="J395" s="483"/>
      <c r="K395" s="480"/>
      <c r="L395" s="481"/>
      <c r="M395" s="482"/>
      <c r="N395" s="483"/>
      <c r="O395" s="513"/>
      <c r="P395" s="514">
        <v>4762</v>
      </c>
      <c r="Q395" s="486">
        <v>1.55E-2</v>
      </c>
      <c r="R395" s="485">
        <v>5.44</v>
      </c>
      <c r="S395" s="515">
        <v>11</v>
      </c>
      <c r="T395" s="516">
        <v>24</v>
      </c>
      <c r="U395" s="490">
        <v>6</v>
      </c>
      <c r="V395" s="373"/>
      <c r="W395" s="391" t="s">
        <v>511</v>
      </c>
    </row>
    <row r="396" spans="1:23">
      <c r="A396" s="476" t="s">
        <v>867</v>
      </c>
      <c r="B396" s="542">
        <v>3.58</v>
      </c>
      <c r="C396" s="543">
        <v>9.7200000000000006</v>
      </c>
      <c r="D396" s="543">
        <v>1.19</v>
      </c>
      <c r="E396" s="544">
        <v>3.05</v>
      </c>
      <c r="F396" s="512"/>
      <c r="G396" s="480"/>
      <c r="H396" s="481"/>
      <c r="I396" s="482"/>
      <c r="J396" s="483">
        <v>0.94236479462306444</v>
      </c>
      <c r="K396" s="480">
        <v>7600</v>
      </c>
      <c r="L396" s="481"/>
      <c r="M396" s="482"/>
      <c r="N396" s="483"/>
      <c r="O396" s="513"/>
      <c r="P396" s="514">
        <v>9983</v>
      </c>
      <c r="Q396" s="486">
        <v>1.55E-2</v>
      </c>
      <c r="R396" s="485">
        <v>5.44</v>
      </c>
      <c r="S396" s="515">
        <v>11</v>
      </c>
      <c r="T396" s="516">
        <v>24</v>
      </c>
      <c r="U396" s="490">
        <v>6</v>
      </c>
      <c r="V396" s="373"/>
      <c r="W396" s="391" t="s">
        <v>511</v>
      </c>
    </row>
    <row r="397" spans="1:23">
      <c r="A397" s="476" t="s">
        <v>868</v>
      </c>
      <c r="B397" s="542">
        <v>3.58</v>
      </c>
      <c r="C397" s="543">
        <v>9.7200000000000006</v>
      </c>
      <c r="D397" s="543">
        <v>1.19</v>
      </c>
      <c r="E397" s="544">
        <v>3.05</v>
      </c>
      <c r="F397" s="512"/>
      <c r="G397" s="480"/>
      <c r="H397" s="481"/>
      <c r="I397" s="482"/>
      <c r="J397" s="483"/>
      <c r="K397" s="480"/>
      <c r="L397" s="481">
        <v>0.47746482927568601</v>
      </c>
      <c r="M397" s="482">
        <v>14500</v>
      </c>
      <c r="N397" s="483"/>
      <c r="O397" s="513"/>
      <c r="P397" s="514">
        <v>16000</v>
      </c>
      <c r="Q397" s="486">
        <v>1.55E-2</v>
      </c>
      <c r="R397" s="485">
        <v>5.44</v>
      </c>
      <c r="S397" s="515">
        <v>11</v>
      </c>
      <c r="T397" s="516">
        <v>24</v>
      </c>
      <c r="U397" s="490">
        <v>6</v>
      </c>
      <c r="V397" s="373"/>
      <c r="W397" s="391" t="s">
        <v>511</v>
      </c>
    </row>
    <row r="398" spans="1:23">
      <c r="A398" s="476" t="s">
        <v>869</v>
      </c>
      <c r="B398" s="542">
        <v>15.5</v>
      </c>
      <c r="C398" s="543">
        <v>17.2</v>
      </c>
      <c r="D398" s="543">
        <v>1.18</v>
      </c>
      <c r="E398" s="544">
        <v>4.66</v>
      </c>
      <c r="F398" s="512"/>
      <c r="G398" s="480"/>
      <c r="H398" s="481">
        <v>1.0070167308359925</v>
      </c>
      <c r="I398" s="482">
        <v>5500</v>
      </c>
      <c r="J398" s="483"/>
      <c r="K398" s="480"/>
      <c r="L398" s="481"/>
      <c r="M398" s="482"/>
      <c r="N398" s="483"/>
      <c r="O398" s="513"/>
      <c r="P398" s="514">
        <v>7333</v>
      </c>
      <c r="Q398" s="486">
        <v>1.55E-2</v>
      </c>
      <c r="R398" s="485">
        <v>2.34</v>
      </c>
      <c r="S398" s="515">
        <v>4.7</v>
      </c>
      <c r="T398" s="516">
        <v>15.7</v>
      </c>
      <c r="U398" s="490">
        <v>6</v>
      </c>
      <c r="V398" s="373"/>
      <c r="W398" s="391" t="s">
        <v>511</v>
      </c>
    </row>
    <row r="399" spans="1:23">
      <c r="A399" s="476" t="s">
        <v>870</v>
      </c>
      <c r="B399" s="542">
        <v>15.5</v>
      </c>
      <c r="C399" s="543">
        <v>17.2</v>
      </c>
      <c r="D399" s="543">
        <v>1.18</v>
      </c>
      <c r="E399" s="544">
        <v>4.66</v>
      </c>
      <c r="F399" s="512"/>
      <c r="G399" s="480"/>
      <c r="H399" s="481"/>
      <c r="I399" s="482"/>
      <c r="J399" s="483">
        <v>0.62437708443743556</v>
      </c>
      <c r="K399" s="480">
        <v>13000</v>
      </c>
      <c r="L399" s="481"/>
      <c r="M399" s="482"/>
      <c r="N399" s="483"/>
      <c r="O399" s="513"/>
      <c r="P399" s="514">
        <v>15373</v>
      </c>
      <c r="Q399" s="486">
        <v>1.55E-2</v>
      </c>
      <c r="R399" s="485">
        <v>2.34</v>
      </c>
      <c r="S399" s="515">
        <v>4.7</v>
      </c>
      <c r="T399" s="516">
        <v>15.7</v>
      </c>
      <c r="U399" s="490">
        <v>6</v>
      </c>
      <c r="V399" s="373"/>
      <c r="W399" s="391" t="s">
        <v>511</v>
      </c>
    </row>
    <row r="400" spans="1:23">
      <c r="A400" s="476" t="s">
        <v>871</v>
      </c>
      <c r="B400" s="542">
        <v>4.66</v>
      </c>
      <c r="C400" s="543">
        <v>5.46</v>
      </c>
      <c r="D400" s="543">
        <v>1.44</v>
      </c>
      <c r="E400" s="544">
        <v>1.6</v>
      </c>
      <c r="F400" s="512"/>
      <c r="G400" s="480"/>
      <c r="H400" s="481">
        <v>1.3285977858106046</v>
      </c>
      <c r="I400" s="482">
        <v>1150</v>
      </c>
      <c r="J400" s="483"/>
      <c r="K400" s="480"/>
      <c r="L400" s="481"/>
      <c r="M400" s="482"/>
      <c r="N400" s="483"/>
      <c r="O400" s="513"/>
      <c r="P400" s="514">
        <v>2022</v>
      </c>
      <c r="Q400" s="486">
        <v>2.01E-2</v>
      </c>
      <c r="R400" s="485">
        <v>20.399999999999999</v>
      </c>
      <c r="S400" s="515">
        <v>44</v>
      </c>
      <c r="T400" s="516">
        <v>56.2</v>
      </c>
      <c r="U400" s="490">
        <v>6</v>
      </c>
      <c r="V400" s="373"/>
      <c r="W400" s="391" t="s">
        <v>511</v>
      </c>
    </row>
    <row r="401" spans="1:23">
      <c r="A401" s="476" t="s">
        <v>872</v>
      </c>
      <c r="B401" s="542">
        <v>4.66</v>
      </c>
      <c r="C401" s="543">
        <v>5.46</v>
      </c>
      <c r="D401" s="543">
        <v>1.44</v>
      </c>
      <c r="E401" s="544">
        <v>1.6</v>
      </c>
      <c r="F401" s="512"/>
      <c r="G401" s="480"/>
      <c r="H401" s="481"/>
      <c r="I401" s="482"/>
      <c r="J401" s="483">
        <v>1.2891550390443522</v>
      </c>
      <c r="K401" s="480">
        <v>3000</v>
      </c>
      <c r="L401" s="481"/>
      <c r="M401" s="482"/>
      <c r="N401" s="483"/>
      <c r="O401" s="513"/>
      <c r="P401" s="514">
        <v>4251</v>
      </c>
      <c r="Q401" s="486">
        <v>2.01E-2</v>
      </c>
      <c r="R401" s="485">
        <v>20.399999999999999</v>
      </c>
      <c r="S401" s="515">
        <v>44</v>
      </c>
      <c r="T401" s="516">
        <v>56.2</v>
      </c>
      <c r="U401" s="490">
        <v>6</v>
      </c>
      <c r="V401" s="373"/>
      <c r="W401" s="391" t="s">
        <v>511</v>
      </c>
    </row>
    <row r="402" spans="1:23">
      <c r="A402" s="476" t="s">
        <v>873</v>
      </c>
      <c r="B402" s="542">
        <v>4.66</v>
      </c>
      <c r="C402" s="543">
        <v>5.46</v>
      </c>
      <c r="D402" s="543">
        <v>1.44</v>
      </c>
      <c r="E402" s="544">
        <v>1.6</v>
      </c>
      <c r="F402" s="512"/>
      <c r="G402" s="480"/>
      <c r="H402" s="481"/>
      <c r="I402" s="482"/>
      <c r="J402" s="483"/>
      <c r="K402" s="480"/>
      <c r="L402" s="481">
        <v>1.1791305349069114</v>
      </c>
      <c r="M402" s="482">
        <v>5750</v>
      </c>
      <c r="N402" s="483"/>
      <c r="O402" s="513"/>
      <c r="P402" s="514">
        <v>7109</v>
      </c>
      <c r="Q402" s="486">
        <v>2.01E-2</v>
      </c>
      <c r="R402" s="485">
        <v>20.399999999999999</v>
      </c>
      <c r="S402" s="515">
        <v>44</v>
      </c>
      <c r="T402" s="516">
        <v>56.2</v>
      </c>
      <c r="U402" s="490">
        <v>6</v>
      </c>
      <c r="V402" s="373"/>
      <c r="W402" s="391" t="s">
        <v>511</v>
      </c>
    </row>
    <row r="403" spans="1:23">
      <c r="A403" s="476" t="s">
        <v>874</v>
      </c>
      <c r="B403" s="542">
        <v>4.66</v>
      </c>
      <c r="C403" s="543">
        <v>5.46</v>
      </c>
      <c r="D403" s="543">
        <v>1.44</v>
      </c>
      <c r="E403" s="544">
        <v>1.6</v>
      </c>
      <c r="F403" s="512"/>
      <c r="G403" s="480"/>
      <c r="H403" s="481"/>
      <c r="I403" s="482"/>
      <c r="J403" s="483"/>
      <c r="K403" s="480"/>
      <c r="L403" s="481"/>
      <c r="M403" s="482"/>
      <c r="N403" s="483">
        <v>1.1106983262583334</v>
      </c>
      <c r="O403" s="513">
        <v>7050</v>
      </c>
      <c r="P403" s="514">
        <v>8541</v>
      </c>
      <c r="Q403" s="486">
        <v>2.01E-2</v>
      </c>
      <c r="R403" s="485">
        <v>20.399999999999999</v>
      </c>
      <c r="S403" s="515">
        <v>44</v>
      </c>
      <c r="T403" s="516">
        <v>56.2</v>
      </c>
      <c r="U403" s="490">
        <v>6</v>
      </c>
      <c r="V403" s="373"/>
      <c r="W403" s="391" t="s">
        <v>511</v>
      </c>
    </row>
    <row r="404" spans="1:23">
      <c r="A404" s="476" t="s">
        <v>875</v>
      </c>
      <c r="B404" s="542">
        <v>4.75</v>
      </c>
      <c r="C404" s="543">
        <v>8.6999999999999993</v>
      </c>
      <c r="D404" s="543">
        <v>1.41</v>
      </c>
      <c r="E404" s="544">
        <v>2.4</v>
      </c>
      <c r="F404" s="512"/>
      <c r="G404" s="480"/>
      <c r="H404" s="481">
        <v>1.2732395447351628</v>
      </c>
      <c r="I404" s="482">
        <v>2100</v>
      </c>
      <c r="J404" s="483"/>
      <c r="K404" s="480"/>
      <c r="L404" s="481"/>
      <c r="M404" s="482"/>
      <c r="N404" s="483"/>
      <c r="O404" s="513"/>
      <c r="P404" s="514">
        <v>3131</v>
      </c>
      <c r="Q404" s="486">
        <v>2.01E-2</v>
      </c>
      <c r="R404" s="485">
        <v>9.02</v>
      </c>
      <c r="S404" s="515">
        <v>19</v>
      </c>
      <c r="T404" s="516">
        <v>36.4</v>
      </c>
      <c r="U404" s="490">
        <v>6</v>
      </c>
      <c r="V404" s="373"/>
      <c r="W404" s="391" t="s">
        <v>511</v>
      </c>
    </row>
    <row r="405" spans="1:23">
      <c r="A405" s="476" t="s">
        <v>876</v>
      </c>
      <c r="B405" s="542">
        <v>4.75</v>
      </c>
      <c r="C405" s="543">
        <v>8.6999999999999993</v>
      </c>
      <c r="D405" s="543">
        <v>1.41</v>
      </c>
      <c r="E405" s="544">
        <v>2.4</v>
      </c>
      <c r="F405" s="512"/>
      <c r="G405" s="480"/>
      <c r="H405" s="481"/>
      <c r="I405" s="482"/>
      <c r="J405" s="483">
        <v>1.1888682496021099</v>
      </c>
      <c r="K405" s="480">
        <v>4980</v>
      </c>
      <c r="L405" s="481"/>
      <c r="M405" s="482"/>
      <c r="N405" s="483"/>
      <c r="O405" s="513"/>
      <c r="P405" s="514">
        <v>6571</v>
      </c>
      <c r="Q405" s="486">
        <v>2.01E-2</v>
      </c>
      <c r="R405" s="485">
        <v>9.02</v>
      </c>
      <c r="S405" s="515">
        <v>19</v>
      </c>
      <c r="T405" s="516">
        <v>36.4</v>
      </c>
      <c r="U405" s="490">
        <v>6</v>
      </c>
      <c r="V405" s="373"/>
      <c r="W405" s="391" t="s">
        <v>511</v>
      </c>
    </row>
    <row r="406" spans="1:23">
      <c r="A406" s="476" t="s">
        <v>877</v>
      </c>
      <c r="B406" s="542">
        <v>4.75</v>
      </c>
      <c r="C406" s="543">
        <v>8.6999999999999993</v>
      </c>
      <c r="D406" s="543">
        <v>1.41</v>
      </c>
      <c r="E406" s="544">
        <v>2.4</v>
      </c>
      <c r="F406" s="512"/>
      <c r="G406" s="480"/>
      <c r="H406" s="481"/>
      <c r="I406" s="482"/>
      <c r="J406" s="483"/>
      <c r="K406" s="480"/>
      <c r="L406" s="481">
        <v>0.90467020283814192</v>
      </c>
      <c r="M406" s="482">
        <v>9500</v>
      </c>
      <c r="N406" s="483"/>
      <c r="O406" s="513"/>
      <c r="P406" s="514">
        <v>10987</v>
      </c>
      <c r="Q406" s="486">
        <v>2.01E-2</v>
      </c>
      <c r="R406" s="485">
        <v>9.02</v>
      </c>
      <c r="S406" s="515">
        <v>19</v>
      </c>
      <c r="T406" s="516">
        <v>36.4</v>
      </c>
      <c r="U406" s="490">
        <v>6</v>
      </c>
      <c r="V406" s="373"/>
      <c r="W406" s="391" t="s">
        <v>511</v>
      </c>
    </row>
    <row r="407" spans="1:23">
      <c r="A407" s="476" t="s">
        <v>878</v>
      </c>
      <c r="B407" s="542">
        <v>4.75</v>
      </c>
      <c r="C407" s="543">
        <v>8.6999999999999993</v>
      </c>
      <c r="D407" s="543">
        <v>1.41</v>
      </c>
      <c r="E407" s="544">
        <v>2.4</v>
      </c>
      <c r="F407" s="512"/>
      <c r="G407" s="480"/>
      <c r="H407" s="481"/>
      <c r="I407" s="482"/>
      <c r="J407" s="483"/>
      <c r="K407" s="480"/>
      <c r="L407" s="481"/>
      <c r="M407" s="482"/>
      <c r="N407" s="483">
        <v>0.71412130987319988</v>
      </c>
      <c r="O407" s="513">
        <v>11500</v>
      </c>
      <c r="P407" s="514">
        <v>13200</v>
      </c>
      <c r="Q407" s="486">
        <v>2.01E-2</v>
      </c>
      <c r="R407" s="485">
        <v>9.02</v>
      </c>
      <c r="S407" s="515">
        <v>19</v>
      </c>
      <c r="T407" s="516">
        <v>36.4</v>
      </c>
      <c r="U407" s="490">
        <v>6</v>
      </c>
      <c r="V407" s="373"/>
      <c r="W407" s="391" t="s">
        <v>511</v>
      </c>
    </row>
    <row r="408" spans="1:23">
      <c r="A408" s="476" t="s">
        <v>879</v>
      </c>
      <c r="B408" s="542">
        <v>4.8</v>
      </c>
      <c r="C408" s="543">
        <v>10.9</v>
      </c>
      <c r="D408" s="543">
        <v>1.44</v>
      </c>
      <c r="E408" s="544">
        <v>3.1</v>
      </c>
      <c r="F408" s="512"/>
      <c r="G408" s="480"/>
      <c r="H408" s="481">
        <v>1.308607309866695</v>
      </c>
      <c r="I408" s="482">
        <v>2700</v>
      </c>
      <c r="J408" s="483"/>
      <c r="K408" s="480"/>
      <c r="L408" s="481"/>
      <c r="M408" s="482"/>
      <c r="N408" s="483"/>
      <c r="O408" s="513"/>
      <c r="P408" s="514">
        <v>3944</v>
      </c>
      <c r="Q408" s="486">
        <v>2.01E-2</v>
      </c>
      <c r="R408" s="485">
        <v>5.44</v>
      </c>
      <c r="S408" s="515">
        <v>11.8</v>
      </c>
      <c r="T408" s="516">
        <v>29</v>
      </c>
      <c r="U408" s="490">
        <v>6</v>
      </c>
      <c r="V408" s="373"/>
      <c r="W408" s="391" t="s">
        <v>511</v>
      </c>
    </row>
    <row r="409" spans="1:23">
      <c r="A409" s="476" t="s">
        <v>880</v>
      </c>
      <c r="B409" s="542">
        <v>4.8</v>
      </c>
      <c r="C409" s="543">
        <v>10.9</v>
      </c>
      <c r="D409" s="543">
        <v>1.44</v>
      </c>
      <c r="E409" s="544">
        <v>3.1</v>
      </c>
      <c r="F409" s="512"/>
      <c r="G409" s="480"/>
      <c r="H409" s="481"/>
      <c r="I409" s="482"/>
      <c r="J409" s="483">
        <v>1.1519786357127662</v>
      </c>
      <c r="K409" s="480">
        <v>6300</v>
      </c>
      <c r="L409" s="481"/>
      <c r="M409" s="482"/>
      <c r="N409" s="483"/>
      <c r="O409" s="513"/>
      <c r="P409" s="514">
        <v>8273</v>
      </c>
      <c r="Q409" s="486">
        <v>2.01E-2</v>
      </c>
      <c r="R409" s="485">
        <v>5.44</v>
      </c>
      <c r="S409" s="515">
        <v>11.8</v>
      </c>
      <c r="T409" s="516">
        <v>29</v>
      </c>
      <c r="U409" s="490">
        <v>6</v>
      </c>
      <c r="V409" s="373"/>
      <c r="W409" s="391" t="s">
        <v>511</v>
      </c>
    </row>
    <row r="410" spans="1:23">
      <c r="A410" s="476" t="s">
        <v>881</v>
      </c>
      <c r="B410" s="542">
        <v>4.8</v>
      </c>
      <c r="C410" s="543">
        <v>10.9</v>
      </c>
      <c r="D410" s="543">
        <v>1.44</v>
      </c>
      <c r="E410" s="544">
        <v>3.1</v>
      </c>
      <c r="F410" s="512"/>
      <c r="G410" s="480"/>
      <c r="H410" s="481"/>
      <c r="I410" s="482"/>
      <c r="J410" s="483"/>
      <c r="K410" s="480"/>
      <c r="L410" s="481">
        <v>0.66845076098596046</v>
      </c>
      <c r="M410" s="482">
        <v>12000</v>
      </c>
      <c r="N410" s="483"/>
      <c r="O410" s="513"/>
      <c r="P410" s="514">
        <v>13833</v>
      </c>
      <c r="Q410" s="486">
        <v>2.01E-2</v>
      </c>
      <c r="R410" s="485">
        <v>5.44</v>
      </c>
      <c r="S410" s="515">
        <v>11.8</v>
      </c>
      <c r="T410" s="516">
        <v>29</v>
      </c>
      <c r="U410" s="490">
        <v>6</v>
      </c>
      <c r="V410" s="373"/>
      <c r="W410" s="391" t="s">
        <v>511</v>
      </c>
    </row>
    <row r="411" spans="1:23">
      <c r="A411" s="476" t="s">
        <v>882</v>
      </c>
      <c r="B411" s="542">
        <v>4.91</v>
      </c>
      <c r="C411" s="543">
        <v>15.5</v>
      </c>
      <c r="D411" s="543">
        <v>1.41</v>
      </c>
      <c r="E411" s="544">
        <v>4.21</v>
      </c>
      <c r="F411" s="512"/>
      <c r="G411" s="480"/>
      <c r="H411" s="481">
        <v>1.2277667038517641</v>
      </c>
      <c r="I411" s="482">
        <v>4200</v>
      </c>
      <c r="J411" s="483"/>
      <c r="K411" s="480"/>
      <c r="L411" s="481"/>
      <c r="M411" s="482"/>
      <c r="N411" s="483"/>
      <c r="O411" s="513"/>
      <c r="P411" s="514">
        <v>5489</v>
      </c>
      <c r="Q411" s="486">
        <v>2.01E-2</v>
      </c>
      <c r="R411" s="485">
        <v>2.94</v>
      </c>
      <c r="S411" s="515">
        <v>6.2</v>
      </c>
      <c r="T411" s="516">
        <v>20.9</v>
      </c>
      <c r="U411" s="490">
        <v>6</v>
      </c>
      <c r="V411" s="373"/>
      <c r="W411" s="391" t="s">
        <v>511</v>
      </c>
    </row>
    <row r="412" spans="1:23">
      <c r="A412" s="476" t="s">
        <v>883</v>
      </c>
      <c r="B412" s="542">
        <v>4.91</v>
      </c>
      <c r="C412" s="543">
        <v>15.5</v>
      </c>
      <c r="D412" s="543">
        <v>1.41</v>
      </c>
      <c r="E412" s="544">
        <v>4.21</v>
      </c>
      <c r="F412" s="512"/>
      <c r="G412" s="480"/>
      <c r="H412" s="481"/>
      <c r="I412" s="482"/>
      <c r="J412" s="483">
        <v>0.909696148409465</v>
      </c>
      <c r="K412" s="480">
        <v>9500</v>
      </c>
      <c r="L412" s="481"/>
      <c r="M412" s="482"/>
      <c r="N412" s="483"/>
      <c r="O412" s="513"/>
      <c r="P412" s="514">
        <v>11509</v>
      </c>
      <c r="Q412" s="486">
        <v>2.01E-2</v>
      </c>
      <c r="R412" s="485">
        <v>2.94</v>
      </c>
      <c r="S412" s="515">
        <v>6.2</v>
      </c>
      <c r="T412" s="516">
        <v>20.9</v>
      </c>
      <c r="U412" s="490">
        <v>6</v>
      </c>
      <c r="V412" s="373"/>
      <c r="W412" s="391" t="s">
        <v>511</v>
      </c>
    </row>
    <row r="413" spans="1:23">
      <c r="A413" s="476" t="s">
        <v>884</v>
      </c>
      <c r="B413" s="542">
        <v>3.28</v>
      </c>
      <c r="C413" s="543">
        <v>4.32</v>
      </c>
      <c r="D413" s="543">
        <v>1.2</v>
      </c>
      <c r="E413" s="544">
        <v>1.53</v>
      </c>
      <c r="F413" s="512"/>
      <c r="G413" s="480"/>
      <c r="H413" s="481">
        <v>1.1018419137131217</v>
      </c>
      <c r="I413" s="482">
        <v>1300</v>
      </c>
      <c r="J413" s="483"/>
      <c r="K413" s="480"/>
      <c r="L413" s="481"/>
      <c r="M413" s="482"/>
      <c r="N413" s="483"/>
      <c r="O413" s="513"/>
      <c r="P413" s="514">
        <v>2308</v>
      </c>
      <c r="Q413" s="486">
        <v>2.41E-2</v>
      </c>
      <c r="R413" s="485">
        <v>21.4</v>
      </c>
      <c r="S413" s="515">
        <v>38</v>
      </c>
      <c r="T413" s="516">
        <v>49.3</v>
      </c>
      <c r="U413" s="490">
        <v>8</v>
      </c>
      <c r="V413" s="373"/>
      <c r="W413" s="391" t="s">
        <v>511</v>
      </c>
    </row>
    <row r="414" spans="1:23">
      <c r="A414" s="476" t="s">
        <v>885</v>
      </c>
      <c r="B414" s="542">
        <v>3.28</v>
      </c>
      <c r="C414" s="543">
        <v>4.32</v>
      </c>
      <c r="D414" s="543">
        <v>1.2</v>
      </c>
      <c r="E414" s="544">
        <v>1.53</v>
      </c>
      <c r="F414" s="512"/>
      <c r="G414" s="480"/>
      <c r="H414" s="481"/>
      <c r="I414" s="482"/>
      <c r="J414" s="483">
        <v>1.083203791789616</v>
      </c>
      <c r="K414" s="480">
        <v>3350</v>
      </c>
      <c r="L414" s="481"/>
      <c r="M414" s="482"/>
      <c r="N414" s="483"/>
      <c r="O414" s="513"/>
      <c r="P414" s="514">
        <v>4849</v>
      </c>
      <c r="Q414" s="486">
        <v>2.41E-2</v>
      </c>
      <c r="R414" s="485">
        <v>21.4</v>
      </c>
      <c r="S414" s="515">
        <v>38</v>
      </c>
      <c r="T414" s="516">
        <v>49.3</v>
      </c>
      <c r="U414" s="490">
        <v>8</v>
      </c>
      <c r="V414" s="373"/>
      <c r="W414" s="391" t="s">
        <v>511</v>
      </c>
    </row>
    <row r="415" spans="1:23">
      <c r="A415" s="476" t="s">
        <v>886</v>
      </c>
      <c r="B415" s="542">
        <v>3.28</v>
      </c>
      <c r="C415" s="543">
        <v>4.32</v>
      </c>
      <c r="D415" s="543">
        <v>1.2</v>
      </c>
      <c r="E415" s="544">
        <v>1.53</v>
      </c>
      <c r="F415" s="512"/>
      <c r="G415" s="480"/>
      <c r="H415" s="481"/>
      <c r="I415" s="482"/>
      <c r="J415" s="483"/>
      <c r="K415" s="480"/>
      <c r="L415" s="481">
        <v>0.9698504344662372</v>
      </c>
      <c r="M415" s="482">
        <v>6400</v>
      </c>
      <c r="N415" s="483"/>
      <c r="O415" s="513"/>
      <c r="P415" s="514">
        <v>8109</v>
      </c>
      <c r="Q415" s="486">
        <v>2.41E-2</v>
      </c>
      <c r="R415" s="485">
        <v>21.4</v>
      </c>
      <c r="S415" s="515">
        <v>38</v>
      </c>
      <c r="T415" s="516">
        <v>49.3</v>
      </c>
      <c r="U415" s="490">
        <v>8</v>
      </c>
      <c r="V415" s="373"/>
      <c r="W415" s="391" t="s">
        <v>511</v>
      </c>
    </row>
    <row r="416" spans="1:23">
      <c r="A416" s="476" t="s">
        <v>887</v>
      </c>
      <c r="B416" s="542">
        <v>3.28</v>
      </c>
      <c r="C416" s="543">
        <v>4.32</v>
      </c>
      <c r="D416" s="543">
        <v>1.2</v>
      </c>
      <c r="E416" s="544">
        <v>1.53</v>
      </c>
      <c r="F416" s="512"/>
      <c r="G416" s="480"/>
      <c r="H416" s="481"/>
      <c r="I416" s="482"/>
      <c r="J416" s="483"/>
      <c r="K416" s="480"/>
      <c r="L416" s="481"/>
      <c r="M416" s="482"/>
      <c r="N416" s="483">
        <v>0.89449107256710791</v>
      </c>
      <c r="O416" s="513">
        <v>7900</v>
      </c>
      <c r="P416" s="514">
        <v>9741</v>
      </c>
      <c r="Q416" s="486">
        <v>2.41E-2</v>
      </c>
      <c r="R416" s="485">
        <v>21.4</v>
      </c>
      <c r="S416" s="515">
        <v>38</v>
      </c>
      <c r="T416" s="516">
        <v>49.3</v>
      </c>
      <c r="U416" s="490">
        <v>8</v>
      </c>
      <c r="V416" s="373"/>
      <c r="W416" s="391" t="s">
        <v>511</v>
      </c>
    </row>
    <row r="417" spans="1:23">
      <c r="A417" s="476" t="s">
        <v>888</v>
      </c>
      <c r="B417" s="542">
        <v>3.43</v>
      </c>
      <c r="C417" s="543">
        <v>9.6300000000000008</v>
      </c>
      <c r="D417" s="543">
        <v>1.25</v>
      </c>
      <c r="E417" s="544">
        <v>3.25</v>
      </c>
      <c r="F417" s="512"/>
      <c r="G417" s="480"/>
      <c r="H417" s="481">
        <v>1.1186318857316073</v>
      </c>
      <c r="I417" s="482">
        <v>3500</v>
      </c>
      <c r="J417" s="483"/>
      <c r="K417" s="480"/>
      <c r="L417" s="481"/>
      <c r="M417" s="482"/>
      <c r="N417" s="483"/>
      <c r="O417" s="513"/>
      <c r="P417" s="514">
        <v>5022</v>
      </c>
      <c r="Q417" s="486">
        <v>2.41E-2</v>
      </c>
      <c r="R417" s="485">
        <v>4.74</v>
      </c>
      <c r="S417" s="515">
        <v>9</v>
      </c>
      <c r="T417" s="516">
        <v>23.7</v>
      </c>
      <c r="U417" s="490">
        <v>8</v>
      </c>
      <c r="V417" s="373"/>
      <c r="W417" s="391" t="s">
        <v>511</v>
      </c>
    </row>
    <row r="418" spans="1:23">
      <c r="A418" s="476" t="s">
        <v>889</v>
      </c>
      <c r="B418" s="542">
        <v>3.43</v>
      </c>
      <c r="C418" s="543">
        <v>9.6300000000000008</v>
      </c>
      <c r="D418" s="543">
        <v>1.25</v>
      </c>
      <c r="E418" s="544">
        <v>3.25</v>
      </c>
      <c r="F418" s="512"/>
      <c r="G418" s="480"/>
      <c r="H418" s="481"/>
      <c r="I418" s="482"/>
      <c r="J418" s="483">
        <v>0.93691211782398764</v>
      </c>
      <c r="K418" s="480">
        <v>7950</v>
      </c>
      <c r="L418" s="481"/>
      <c r="M418" s="482"/>
      <c r="N418" s="483"/>
      <c r="O418" s="513"/>
      <c r="P418" s="514">
        <v>10088</v>
      </c>
      <c r="Q418" s="486">
        <v>2.41E-2</v>
      </c>
      <c r="R418" s="485">
        <v>4.74</v>
      </c>
      <c r="S418" s="515">
        <v>9</v>
      </c>
      <c r="T418" s="516">
        <v>23.7</v>
      </c>
      <c r="U418" s="490">
        <v>8</v>
      </c>
      <c r="V418" s="373"/>
      <c r="W418" s="391" t="s">
        <v>511</v>
      </c>
    </row>
    <row r="419" spans="1:23">
      <c r="A419" s="476" t="s">
        <v>890</v>
      </c>
      <c r="B419" s="542">
        <v>3.43</v>
      </c>
      <c r="C419" s="543">
        <v>9.6300000000000008</v>
      </c>
      <c r="D419" s="543">
        <v>1.25</v>
      </c>
      <c r="E419" s="544">
        <v>3.25</v>
      </c>
      <c r="F419" s="512"/>
      <c r="G419" s="480"/>
      <c r="H419" s="481"/>
      <c r="I419" s="482"/>
      <c r="J419" s="483"/>
      <c r="K419" s="480"/>
      <c r="L419" s="481">
        <v>0.56102117439893107</v>
      </c>
      <c r="M419" s="482">
        <v>12000</v>
      </c>
      <c r="N419" s="483"/>
      <c r="O419" s="513"/>
      <c r="P419" s="514">
        <v>12000</v>
      </c>
      <c r="Q419" s="486">
        <v>2.41E-2</v>
      </c>
      <c r="R419" s="485">
        <v>4.74</v>
      </c>
      <c r="S419" s="515">
        <v>9</v>
      </c>
      <c r="T419" s="516">
        <v>23.7</v>
      </c>
      <c r="U419" s="490">
        <v>8</v>
      </c>
      <c r="V419" s="373"/>
      <c r="W419" s="391" t="s">
        <v>511</v>
      </c>
    </row>
    <row r="420" spans="1:23">
      <c r="A420" s="476" t="s">
        <v>891</v>
      </c>
      <c r="B420" s="542">
        <v>3.59</v>
      </c>
      <c r="C420" s="543">
        <v>19.399999999999999</v>
      </c>
      <c r="D420" s="543">
        <v>1.21</v>
      </c>
      <c r="E420" s="544">
        <v>6.25</v>
      </c>
      <c r="F420" s="512"/>
      <c r="G420" s="480"/>
      <c r="H420" s="481">
        <v>0.91036627448564134</v>
      </c>
      <c r="I420" s="482">
        <v>7500</v>
      </c>
      <c r="J420" s="483"/>
      <c r="K420" s="480"/>
      <c r="L420" s="481"/>
      <c r="M420" s="482"/>
      <c r="N420" s="483"/>
      <c r="O420" s="513"/>
      <c r="P420" s="514">
        <v>9539</v>
      </c>
      <c r="Q420" s="486">
        <v>2.41E-2</v>
      </c>
      <c r="R420" s="485">
        <v>1.29</v>
      </c>
      <c r="S420" s="515">
        <v>2.4</v>
      </c>
      <c r="T420" s="516">
        <v>12.1</v>
      </c>
      <c r="U420" s="490">
        <v>8</v>
      </c>
      <c r="V420" s="373"/>
      <c r="W420" s="391" t="s">
        <v>511</v>
      </c>
    </row>
    <row r="421" spans="1:23">
      <c r="A421" s="476" t="s">
        <v>892</v>
      </c>
      <c r="B421" s="542">
        <v>3.59</v>
      </c>
      <c r="C421" s="543">
        <v>19.399999999999999</v>
      </c>
      <c r="D421" s="543">
        <v>1.21</v>
      </c>
      <c r="E421" s="544">
        <v>6.25</v>
      </c>
      <c r="F421" s="512"/>
      <c r="G421" s="480"/>
      <c r="H421" s="481"/>
      <c r="I421" s="482"/>
      <c r="J421" s="483">
        <v>0.64723010190704111</v>
      </c>
      <c r="K421" s="480">
        <v>13500</v>
      </c>
      <c r="L421" s="481"/>
      <c r="M421" s="482"/>
      <c r="N421" s="483"/>
      <c r="O421" s="513"/>
      <c r="P421" s="514">
        <v>12000</v>
      </c>
      <c r="Q421" s="486">
        <v>2.41E-2</v>
      </c>
      <c r="R421" s="485">
        <v>1.29</v>
      </c>
      <c r="S421" s="515">
        <v>2.4</v>
      </c>
      <c r="T421" s="516">
        <v>12.1</v>
      </c>
      <c r="U421" s="490">
        <v>8</v>
      </c>
      <c r="V421" s="373"/>
      <c r="W421" s="391" t="s">
        <v>511</v>
      </c>
    </row>
    <row r="422" spans="1:23">
      <c r="A422" s="476" t="s">
        <v>893</v>
      </c>
      <c r="B422" s="542">
        <v>6.67</v>
      </c>
      <c r="C422" s="543">
        <v>5.39</v>
      </c>
      <c r="D422" s="543">
        <v>2.08</v>
      </c>
      <c r="E422" s="544">
        <v>1.59</v>
      </c>
      <c r="F422" s="512"/>
      <c r="G422" s="480"/>
      <c r="H422" s="481">
        <v>1.9757165349338732</v>
      </c>
      <c r="I422" s="482">
        <v>725</v>
      </c>
      <c r="J422" s="483"/>
      <c r="K422" s="480"/>
      <c r="L422" s="481"/>
      <c r="M422" s="482"/>
      <c r="N422" s="483"/>
      <c r="O422" s="513"/>
      <c r="P422" s="514">
        <v>1461</v>
      </c>
      <c r="Q422" s="486">
        <v>4.8800000000000003E-2</v>
      </c>
      <c r="R422" s="485">
        <v>23.8</v>
      </c>
      <c r="S422" s="515">
        <v>47</v>
      </c>
      <c r="T422" s="516">
        <v>80.8</v>
      </c>
      <c r="U422" s="490">
        <v>8</v>
      </c>
      <c r="V422" s="373"/>
      <c r="W422" s="391" t="s">
        <v>511</v>
      </c>
    </row>
    <row r="423" spans="1:23">
      <c r="A423" s="476" t="s">
        <v>894</v>
      </c>
      <c r="B423" s="542">
        <v>6.67</v>
      </c>
      <c r="C423" s="543">
        <v>5.39</v>
      </c>
      <c r="D423" s="543">
        <v>2.08</v>
      </c>
      <c r="E423" s="544">
        <v>1.59</v>
      </c>
      <c r="F423" s="512"/>
      <c r="G423" s="480"/>
      <c r="H423" s="481"/>
      <c r="I423" s="482"/>
      <c r="J423" s="483">
        <v>1.8621128341751756</v>
      </c>
      <c r="K423" s="480">
        <v>2000</v>
      </c>
      <c r="L423" s="481"/>
      <c r="M423" s="482"/>
      <c r="N423" s="483"/>
      <c r="O423" s="513"/>
      <c r="P423" s="514">
        <v>2944</v>
      </c>
      <c r="Q423" s="486">
        <v>4.8800000000000003E-2</v>
      </c>
      <c r="R423" s="485">
        <v>23.8</v>
      </c>
      <c r="S423" s="515">
        <v>47</v>
      </c>
      <c r="T423" s="516">
        <v>80.8</v>
      </c>
      <c r="U423" s="490">
        <v>8</v>
      </c>
      <c r="V423" s="373"/>
      <c r="W423" s="391" t="s">
        <v>511</v>
      </c>
    </row>
    <row r="424" spans="1:23">
      <c r="A424" s="476" t="s">
        <v>895</v>
      </c>
      <c r="B424" s="542">
        <v>6.67</v>
      </c>
      <c r="C424" s="543">
        <v>5.39</v>
      </c>
      <c r="D424" s="543">
        <v>2.08</v>
      </c>
      <c r="E424" s="544">
        <v>1.59</v>
      </c>
      <c r="F424" s="512"/>
      <c r="G424" s="480"/>
      <c r="H424" s="481"/>
      <c r="I424" s="482"/>
      <c r="J424" s="483"/>
      <c r="K424" s="480"/>
      <c r="L424" s="481">
        <v>1.7384616860807027</v>
      </c>
      <c r="M424" s="482">
        <v>3900</v>
      </c>
      <c r="N424" s="483"/>
      <c r="O424" s="513"/>
      <c r="P424" s="514">
        <v>4924</v>
      </c>
      <c r="Q424" s="486">
        <v>4.8800000000000003E-2</v>
      </c>
      <c r="R424" s="485">
        <v>23.8</v>
      </c>
      <c r="S424" s="515">
        <v>47</v>
      </c>
      <c r="T424" s="516">
        <v>80.8</v>
      </c>
      <c r="U424" s="490">
        <v>8</v>
      </c>
      <c r="V424" s="373"/>
      <c r="W424" s="391" t="s">
        <v>511</v>
      </c>
    </row>
    <row r="425" spans="1:23">
      <c r="A425" s="476" t="s">
        <v>896</v>
      </c>
      <c r="B425" s="542">
        <v>6.67</v>
      </c>
      <c r="C425" s="543">
        <v>5.39</v>
      </c>
      <c r="D425" s="543">
        <v>2.08</v>
      </c>
      <c r="E425" s="544">
        <v>1.59</v>
      </c>
      <c r="F425" s="512"/>
      <c r="G425" s="480"/>
      <c r="H425" s="481"/>
      <c r="I425" s="482"/>
      <c r="J425" s="483"/>
      <c r="K425" s="480"/>
      <c r="L425" s="481"/>
      <c r="M425" s="482"/>
      <c r="N425" s="483">
        <v>1.6370222718023522</v>
      </c>
      <c r="O425" s="513">
        <v>4900</v>
      </c>
      <c r="P425" s="514">
        <v>5915</v>
      </c>
      <c r="Q425" s="486">
        <v>4.8800000000000003E-2</v>
      </c>
      <c r="R425" s="485">
        <v>23.8</v>
      </c>
      <c r="S425" s="515">
        <v>47</v>
      </c>
      <c r="T425" s="516">
        <v>80.8</v>
      </c>
      <c r="U425" s="490">
        <v>8</v>
      </c>
      <c r="V425" s="373"/>
      <c r="W425" s="391" t="s">
        <v>511</v>
      </c>
    </row>
    <row r="426" spans="1:23">
      <c r="A426" s="476" t="s">
        <v>897</v>
      </c>
      <c r="B426" s="542">
        <v>6.83</v>
      </c>
      <c r="C426" s="543">
        <v>8.57</v>
      </c>
      <c r="D426" s="543">
        <v>2.08</v>
      </c>
      <c r="E426" s="544">
        <v>2.42</v>
      </c>
      <c r="F426" s="512"/>
      <c r="G426" s="480"/>
      <c r="H426" s="481">
        <v>1.909859317102744</v>
      </c>
      <c r="I426" s="482">
        <v>1350</v>
      </c>
      <c r="J426" s="483"/>
      <c r="K426" s="480"/>
      <c r="L426" s="481"/>
      <c r="M426" s="482"/>
      <c r="N426" s="483"/>
      <c r="O426" s="513"/>
      <c r="P426" s="514">
        <v>2139</v>
      </c>
      <c r="Q426" s="486">
        <v>4.8800000000000003E-2</v>
      </c>
      <c r="R426" s="485">
        <v>10.3</v>
      </c>
      <c r="S426" s="515">
        <v>20</v>
      </c>
      <c r="T426" s="516">
        <v>53.4</v>
      </c>
      <c r="U426" s="490">
        <v>8</v>
      </c>
      <c r="V426" s="373"/>
      <c r="W426" s="391" t="s">
        <v>511</v>
      </c>
    </row>
    <row r="427" spans="1:23">
      <c r="A427" s="476" t="s">
        <v>898</v>
      </c>
      <c r="B427" s="542">
        <v>6.83</v>
      </c>
      <c r="C427" s="543">
        <v>8.57</v>
      </c>
      <c r="D427" s="543">
        <v>2.08</v>
      </c>
      <c r="E427" s="544">
        <v>2.42</v>
      </c>
      <c r="F427" s="512"/>
      <c r="G427" s="480"/>
      <c r="H427" s="481"/>
      <c r="I427" s="482"/>
      <c r="J427" s="483">
        <v>1.7941102675813656</v>
      </c>
      <c r="K427" s="480">
        <v>3300</v>
      </c>
      <c r="L427" s="481"/>
      <c r="M427" s="482"/>
      <c r="N427" s="483"/>
      <c r="O427" s="513"/>
      <c r="P427" s="514">
        <v>4489</v>
      </c>
      <c r="Q427" s="486">
        <v>4.8800000000000003E-2</v>
      </c>
      <c r="R427" s="485">
        <v>10.3</v>
      </c>
      <c r="S427" s="515">
        <v>20</v>
      </c>
      <c r="T427" s="516">
        <v>53.4</v>
      </c>
      <c r="U427" s="490">
        <v>8</v>
      </c>
      <c r="V427" s="373"/>
      <c r="W427" s="391" t="s">
        <v>511</v>
      </c>
    </row>
    <row r="428" spans="1:23">
      <c r="A428" s="476" t="s">
        <v>899</v>
      </c>
      <c r="B428" s="542">
        <v>6.83</v>
      </c>
      <c r="C428" s="543">
        <v>8.57</v>
      </c>
      <c r="D428" s="543">
        <v>2.08</v>
      </c>
      <c r="E428" s="544">
        <v>2.42</v>
      </c>
      <c r="F428" s="512"/>
      <c r="G428" s="480"/>
      <c r="H428" s="481"/>
      <c r="I428" s="482"/>
      <c r="J428" s="483"/>
      <c r="K428" s="480"/>
      <c r="L428" s="481">
        <v>1.382510102678852</v>
      </c>
      <c r="M428" s="482">
        <v>6700</v>
      </c>
      <c r="N428" s="483"/>
      <c r="O428" s="513"/>
      <c r="P428" s="514">
        <v>7505</v>
      </c>
      <c r="Q428" s="486">
        <v>4.8800000000000003E-2</v>
      </c>
      <c r="R428" s="485">
        <v>10.3</v>
      </c>
      <c r="S428" s="515">
        <v>20</v>
      </c>
      <c r="T428" s="516">
        <v>53.4</v>
      </c>
      <c r="U428" s="490">
        <v>8</v>
      </c>
      <c r="V428" s="373"/>
      <c r="W428" s="391" t="s">
        <v>511</v>
      </c>
    </row>
    <row r="429" spans="1:23">
      <c r="A429" s="476" t="s">
        <v>900</v>
      </c>
      <c r="B429" s="542">
        <v>6.83</v>
      </c>
      <c r="C429" s="543">
        <v>8.57</v>
      </c>
      <c r="D429" s="543">
        <v>2.08</v>
      </c>
      <c r="E429" s="544">
        <v>2.42</v>
      </c>
      <c r="F429" s="512"/>
      <c r="G429" s="480"/>
      <c r="H429" s="481"/>
      <c r="I429" s="482"/>
      <c r="J429" s="483"/>
      <c r="K429" s="480"/>
      <c r="L429" s="481"/>
      <c r="M429" s="482"/>
      <c r="N429" s="483">
        <v>1.2401683877290546</v>
      </c>
      <c r="O429" s="513">
        <v>7700</v>
      </c>
      <c r="P429" s="514">
        <v>9016</v>
      </c>
      <c r="Q429" s="486">
        <v>4.8800000000000003E-2</v>
      </c>
      <c r="R429" s="485">
        <v>10.3</v>
      </c>
      <c r="S429" s="515">
        <v>20</v>
      </c>
      <c r="T429" s="516">
        <v>53.4</v>
      </c>
      <c r="U429" s="490">
        <v>8</v>
      </c>
      <c r="V429" s="373"/>
      <c r="W429" s="391" t="s">
        <v>511</v>
      </c>
    </row>
    <row r="430" spans="1:23">
      <c r="A430" s="476" t="s">
        <v>901</v>
      </c>
      <c r="B430" s="542">
        <v>6.98</v>
      </c>
      <c r="C430" s="543">
        <v>10.9</v>
      </c>
      <c r="D430" s="543">
        <v>2.11</v>
      </c>
      <c r="E430" s="544">
        <v>3.1</v>
      </c>
      <c r="F430" s="512"/>
      <c r="G430" s="480"/>
      <c r="H430" s="481">
        <v>1.9098593171027443</v>
      </c>
      <c r="I430" s="482">
        <v>1800</v>
      </c>
      <c r="J430" s="483"/>
      <c r="K430" s="480"/>
      <c r="L430" s="481"/>
      <c r="M430" s="482"/>
      <c r="N430" s="483"/>
      <c r="O430" s="513"/>
      <c r="P430" s="514">
        <v>2704</v>
      </c>
      <c r="Q430" s="486">
        <v>4.8800000000000003E-2</v>
      </c>
      <c r="R430" s="485">
        <v>6.3</v>
      </c>
      <c r="S430" s="515">
        <v>12.8</v>
      </c>
      <c r="T430" s="516">
        <v>42.3</v>
      </c>
      <c r="U430" s="490">
        <v>8</v>
      </c>
      <c r="V430" s="373"/>
      <c r="W430" s="391" t="s">
        <v>511</v>
      </c>
    </row>
    <row r="431" spans="1:23">
      <c r="A431" s="476" t="s">
        <v>902</v>
      </c>
      <c r="B431" s="542">
        <v>6.98</v>
      </c>
      <c r="C431" s="543">
        <v>10.9</v>
      </c>
      <c r="D431" s="543">
        <v>2.11</v>
      </c>
      <c r="E431" s="544">
        <v>3.1</v>
      </c>
      <c r="F431" s="512"/>
      <c r="G431" s="480"/>
      <c r="H431" s="481"/>
      <c r="I431" s="482"/>
      <c r="J431" s="483">
        <v>1.7301078519636623</v>
      </c>
      <c r="K431" s="480">
        <v>4250</v>
      </c>
      <c r="L431" s="481"/>
      <c r="M431" s="482"/>
      <c r="N431" s="483"/>
      <c r="O431" s="513"/>
      <c r="P431" s="514">
        <v>5671</v>
      </c>
      <c r="Q431" s="486">
        <v>4.8800000000000003E-2</v>
      </c>
      <c r="R431" s="485">
        <v>6.3</v>
      </c>
      <c r="S431" s="515">
        <v>12.8</v>
      </c>
      <c r="T431" s="516">
        <v>42.3</v>
      </c>
      <c r="U431" s="490">
        <v>8</v>
      </c>
      <c r="V431" s="373"/>
      <c r="W431" s="391" t="s">
        <v>511</v>
      </c>
    </row>
    <row r="432" spans="1:23">
      <c r="A432" s="476" t="s">
        <v>903</v>
      </c>
      <c r="B432" s="542">
        <v>6.98</v>
      </c>
      <c r="C432" s="543">
        <v>10.9</v>
      </c>
      <c r="D432" s="543">
        <v>2.11</v>
      </c>
      <c r="E432" s="544">
        <v>3.1</v>
      </c>
      <c r="F432" s="512"/>
      <c r="G432" s="480"/>
      <c r="H432" s="481"/>
      <c r="I432" s="482"/>
      <c r="J432" s="483"/>
      <c r="K432" s="480"/>
      <c r="L432" s="481">
        <v>1.2055986939211072</v>
      </c>
      <c r="M432" s="482">
        <v>8000</v>
      </c>
      <c r="N432" s="483"/>
      <c r="O432" s="513"/>
      <c r="P432" s="514">
        <v>9481</v>
      </c>
      <c r="Q432" s="486">
        <v>4.8800000000000003E-2</v>
      </c>
      <c r="R432" s="485">
        <v>6.3</v>
      </c>
      <c r="S432" s="515">
        <v>12.8</v>
      </c>
      <c r="T432" s="516">
        <v>42.3</v>
      </c>
      <c r="U432" s="490">
        <v>8</v>
      </c>
      <c r="V432" s="373"/>
      <c r="W432" s="391" t="s">
        <v>511</v>
      </c>
    </row>
    <row r="433" spans="1:23">
      <c r="A433" s="476" t="s">
        <v>904</v>
      </c>
      <c r="B433" s="542">
        <v>6.98</v>
      </c>
      <c r="C433" s="543">
        <v>10.9</v>
      </c>
      <c r="D433" s="543">
        <v>2.11</v>
      </c>
      <c r="E433" s="544">
        <v>3.1</v>
      </c>
      <c r="F433" s="512"/>
      <c r="G433" s="480"/>
      <c r="H433" s="481"/>
      <c r="I433" s="482"/>
      <c r="J433" s="483"/>
      <c r="K433" s="480"/>
      <c r="L433" s="481"/>
      <c r="M433" s="482"/>
      <c r="N433" s="483">
        <v>0.5496668278490825</v>
      </c>
      <c r="O433" s="513">
        <v>10250</v>
      </c>
      <c r="P433" s="514">
        <v>11390</v>
      </c>
      <c r="Q433" s="486">
        <v>4.8800000000000003E-2</v>
      </c>
      <c r="R433" s="485">
        <v>6.3</v>
      </c>
      <c r="S433" s="515">
        <v>12.8</v>
      </c>
      <c r="T433" s="516">
        <v>42.3</v>
      </c>
      <c r="U433" s="490">
        <v>8</v>
      </c>
      <c r="V433" s="373"/>
      <c r="W433" s="391" t="s">
        <v>511</v>
      </c>
    </row>
    <row r="434" spans="1:23">
      <c r="A434" s="476" t="s">
        <v>905</v>
      </c>
      <c r="B434" s="542">
        <v>7.31</v>
      </c>
      <c r="C434" s="543">
        <v>21.8</v>
      </c>
      <c r="D434" s="543">
        <v>2.1749999999999998</v>
      </c>
      <c r="E434" s="544">
        <v>5.97</v>
      </c>
      <c r="F434" s="512"/>
      <c r="G434" s="480"/>
      <c r="H434" s="481">
        <v>1.8608885653821607</v>
      </c>
      <c r="I434" s="482">
        <v>3900</v>
      </c>
      <c r="J434" s="483"/>
      <c r="K434" s="480"/>
      <c r="L434" s="481"/>
      <c r="M434" s="482"/>
      <c r="N434" s="483"/>
      <c r="O434" s="513"/>
      <c r="P434" s="514">
        <v>5084</v>
      </c>
      <c r="Q434" s="486">
        <v>4.8800000000000003E-2</v>
      </c>
      <c r="R434" s="485">
        <v>1.69</v>
      </c>
      <c r="S434" s="515">
        <v>3.6</v>
      </c>
      <c r="T434" s="516">
        <v>22.6</v>
      </c>
      <c r="U434" s="490">
        <v>8</v>
      </c>
      <c r="V434" s="373"/>
      <c r="W434" s="391" t="s">
        <v>511</v>
      </c>
    </row>
    <row r="435" spans="1:23">
      <c r="A435" s="476" t="s">
        <v>906</v>
      </c>
      <c r="B435" s="542">
        <v>7.31</v>
      </c>
      <c r="C435" s="543">
        <v>21.8</v>
      </c>
      <c r="D435" s="543">
        <v>2.1749999999999998</v>
      </c>
      <c r="E435" s="544">
        <v>5.97</v>
      </c>
      <c r="F435" s="512"/>
      <c r="G435" s="480"/>
      <c r="H435" s="481"/>
      <c r="I435" s="482"/>
      <c r="J435" s="483">
        <v>1.1051433127055206</v>
      </c>
      <c r="K435" s="480">
        <v>8900</v>
      </c>
      <c r="L435" s="481"/>
      <c r="M435" s="482"/>
      <c r="N435" s="483"/>
      <c r="O435" s="513"/>
      <c r="P435" s="514">
        <v>10660</v>
      </c>
      <c r="Q435" s="486">
        <v>4.8800000000000003E-2</v>
      </c>
      <c r="R435" s="485">
        <v>1.69</v>
      </c>
      <c r="S435" s="515">
        <v>3.6</v>
      </c>
      <c r="T435" s="516">
        <v>22.6</v>
      </c>
      <c r="U435" s="490">
        <v>8</v>
      </c>
      <c r="V435" s="373"/>
      <c r="W435" s="391" t="s">
        <v>511</v>
      </c>
    </row>
    <row r="436" spans="1:23">
      <c r="A436" s="476" t="s">
        <v>907</v>
      </c>
      <c r="B436" s="542">
        <v>10.4</v>
      </c>
      <c r="C436" s="543">
        <v>5.9</v>
      </c>
      <c r="D436" s="543">
        <v>2.82</v>
      </c>
      <c r="E436" s="544">
        <v>1.64</v>
      </c>
      <c r="F436" s="512"/>
      <c r="G436" s="480"/>
      <c r="H436" s="481">
        <v>2.5783100780887045</v>
      </c>
      <c r="I436" s="482">
        <v>500</v>
      </c>
      <c r="J436" s="483"/>
      <c r="K436" s="480"/>
      <c r="L436" s="481"/>
      <c r="M436" s="482"/>
      <c r="N436" s="483"/>
      <c r="O436" s="513"/>
      <c r="P436" s="514">
        <v>1051</v>
      </c>
      <c r="Q436" s="486">
        <v>7.3099999999999998E-2</v>
      </c>
      <c r="R436" s="485">
        <v>26.6</v>
      </c>
      <c r="S436" s="515">
        <v>54</v>
      </c>
      <c r="T436" s="516">
        <v>108</v>
      </c>
      <c r="U436" s="490">
        <v>8</v>
      </c>
      <c r="V436" s="373"/>
      <c r="W436" s="391" t="s">
        <v>511</v>
      </c>
    </row>
    <row r="437" spans="1:23">
      <c r="A437" s="476" t="s">
        <v>908</v>
      </c>
      <c r="B437" s="542">
        <v>10.4</v>
      </c>
      <c r="C437" s="543">
        <v>5.9</v>
      </c>
      <c r="D437" s="543">
        <v>2.82</v>
      </c>
      <c r="E437" s="544">
        <v>1.64</v>
      </c>
      <c r="F437" s="512"/>
      <c r="G437" s="480"/>
      <c r="H437" s="481"/>
      <c r="I437" s="482"/>
      <c r="J437" s="483">
        <v>2.5464790894703255</v>
      </c>
      <c r="K437" s="480">
        <v>1500</v>
      </c>
      <c r="L437" s="481"/>
      <c r="M437" s="482"/>
      <c r="N437" s="483"/>
      <c r="O437" s="513"/>
      <c r="P437" s="514">
        <v>2217</v>
      </c>
      <c r="Q437" s="486">
        <v>7.3099999999999998E-2</v>
      </c>
      <c r="R437" s="485">
        <v>26.6</v>
      </c>
      <c r="S437" s="515">
        <v>54</v>
      </c>
      <c r="T437" s="516">
        <v>108</v>
      </c>
      <c r="U437" s="490">
        <v>8</v>
      </c>
      <c r="V437" s="373"/>
      <c r="W437" s="391" t="s">
        <v>511</v>
      </c>
    </row>
    <row r="438" spans="1:23">
      <c r="A438" s="476" t="s">
        <v>909</v>
      </c>
      <c r="B438" s="542">
        <v>10.4</v>
      </c>
      <c r="C438" s="543">
        <v>5.9</v>
      </c>
      <c r="D438" s="543">
        <v>2.82</v>
      </c>
      <c r="E438" s="544">
        <v>1.64</v>
      </c>
      <c r="F438" s="512"/>
      <c r="G438" s="480"/>
      <c r="H438" s="481"/>
      <c r="I438" s="482"/>
      <c r="J438" s="483"/>
      <c r="K438" s="480"/>
      <c r="L438" s="481">
        <v>2.4124538742350454</v>
      </c>
      <c r="M438" s="482">
        <v>2850</v>
      </c>
      <c r="N438" s="483"/>
      <c r="O438" s="513"/>
      <c r="P438" s="514">
        <v>3710</v>
      </c>
      <c r="Q438" s="486">
        <v>7.3099999999999998E-2</v>
      </c>
      <c r="R438" s="485">
        <v>26.6</v>
      </c>
      <c r="S438" s="515">
        <v>54</v>
      </c>
      <c r="T438" s="516">
        <v>108</v>
      </c>
      <c r="U438" s="490">
        <v>8</v>
      </c>
      <c r="V438" s="373"/>
      <c r="W438" s="391" t="s">
        <v>511</v>
      </c>
    </row>
    <row r="439" spans="1:23">
      <c r="A439" s="476" t="s">
        <v>910</v>
      </c>
      <c r="B439" s="542">
        <v>10.4</v>
      </c>
      <c r="C439" s="543">
        <v>5.9</v>
      </c>
      <c r="D439" s="543">
        <v>2.82</v>
      </c>
      <c r="E439" s="544">
        <v>1.64</v>
      </c>
      <c r="F439" s="512"/>
      <c r="G439" s="480"/>
      <c r="H439" s="481"/>
      <c r="I439" s="482"/>
      <c r="J439" s="483"/>
      <c r="K439" s="480"/>
      <c r="L439" s="481"/>
      <c r="M439" s="482"/>
      <c r="N439" s="483">
        <v>2.3210095867568072</v>
      </c>
      <c r="O439" s="513">
        <v>3600</v>
      </c>
      <c r="P439" s="514">
        <v>4458</v>
      </c>
      <c r="Q439" s="486">
        <v>7.3099999999999998E-2</v>
      </c>
      <c r="R439" s="485">
        <v>26.6</v>
      </c>
      <c r="S439" s="515">
        <v>54</v>
      </c>
      <c r="T439" s="516">
        <v>108</v>
      </c>
      <c r="U439" s="490">
        <v>8</v>
      </c>
      <c r="V439" s="373"/>
      <c r="W439" s="391" t="s">
        <v>511</v>
      </c>
    </row>
    <row r="440" spans="1:23">
      <c r="A440" s="476" t="s">
        <v>911</v>
      </c>
      <c r="B440" s="542">
        <v>10.4</v>
      </c>
      <c r="C440" s="543">
        <v>10.3</v>
      </c>
      <c r="D440" s="543">
        <v>2.87</v>
      </c>
      <c r="E440" s="544">
        <v>2.81</v>
      </c>
      <c r="F440" s="512"/>
      <c r="G440" s="480"/>
      <c r="H440" s="481">
        <v>2.6571955716212092</v>
      </c>
      <c r="I440" s="482">
        <v>1150</v>
      </c>
      <c r="J440" s="483"/>
      <c r="K440" s="480"/>
      <c r="L440" s="481"/>
      <c r="M440" s="482"/>
      <c r="N440" s="483"/>
      <c r="O440" s="513"/>
      <c r="P440" s="514">
        <v>1789</v>
      </c>
      <c r="Q440" s="486">
        <v>7.3099999999999998E-2</v>
      </c>
      <c r="R440" s="485">
        <v>9.01</v>
      </c>
      <c r="S440" s="515">
        <v>19</v>
      </c>
      <c r="T440" s="516">
        <v>63.7</v>
      </c>
      <c r="U440" s="490">
        <v>8</v>
      </c>
      <c r="V440" s="373"/>
      <c r="W440" s="391" t="s">
        <v>511</v>
      </c>
    </row>
    <row r="441" spans="1:23">
      <c r="A441" s="476" t="s">
        <v>912</v>
      </c>
      <c r="B441" s="542">
        <v>10.4</v>
      </c>
      <c r="C441" s="543">
        <v>10.3</v>
      </c>
      <c r="D441" s="543">
        <v>2.87</v>
      </c>
      <c r="E441" s="544">
        <v>2.81</v>
      </c>
      <c r="F441" s="512"/>
      <c r="G441" s="480"/>
      <c r="H441" s="481"/>
      <c r="I441" s="482"/>
      <c r="J441" s="483">
        <v>2.4794664818526857</v>
      </c>
      <c r="K441" s="480">
        <v>2850</v>
      </c>
      <c r="L441" s="481"/>
      <c r="M441" s="482"/>
      <c r="N441" s="483"/>
      <c r="O441" s="513"/>
      <c r="P441" s="514">
        <v>3757</v>
      </c>
      <c r="Q441" s="486">
        <v>7.3099999999999998E-2</v>
      </c>
      <c r="R441" s="485">
        <v>9.01</v>
      </c>
      <c r="S441" s="515">
        <v>19</v>
      </c>
      <c r="T441" s="516">
        <v>63.7</v>
      </c>
      <c r="U441" s="490">
        <v>8</v>
      </c>
      <c r="V441" s="373"/>
      <c r="W441" s="391" t="s">
        <v>511</v>
      </c>
    </row>
    <row r="442" spans="1:23">
      <c r="A442" s="476" t="s">
        <v>913</v>
      </c>
      <c r="B442" s="542">
        <v>10.4</v>
      </c>
      <c r="C442" s="543">
        <v>10.3</v>
      </c>
      <c r="D442" s="543">
        <v>2.87</v>
      </c>
      <c r="E442" s="544">
        <v>2.81</v>
      </c>
      <c r="F442" s="512"/>
      <c r="G442" s="480"/>
      <c r="H442" s="481"/>
      <c r="I442" s="482"/>
      <c r="J442" s="483"/>
      <c r="K442" s="480"/>
      <c r="L442" s="481">
        <v>1.961016263096568</v>
      </c>
      <c r="M442" s="482">
        <v>5600</v>
      </c>
      <c r="N442" s="483"/>
      <c r="O442" s="513"/>
      <c r="P442" s="514">
        <v>6283</v>
      </c>
      <c r="Q442" s="486">
        <v>7.3099999999999998E-2</v>
      </c>
      <c r="R442" s="485">
        <v>9.01</v>
      </c>
      <c r="S442" s="515">
        <v>19</v>
      </c>
      <c r="T442" s="516">
        <v>63.7</v>
      </c>
      <c r="U442" s="490">
        <v>8</v>
      </c>
      <c r="V442" s="373"/>
      <c r="W442" s="391" t="s">
        <v>511</v>
      </c>
    </row>
    <row r="443" spans="1:23">
      <c r="A443" s="476" t="s">
        <v>914</v>
      </c>
      <c r="B443" s="542">
        <v>10.4</v>
      </c>
      <c r="C443" s="543">
        <v>10.3</v>
      </c>
      <c r="D443" s="543">
        <v>2.87</v>
      </c>
      <c r="E443" s="544">
        <v>2.81</v>
      </c>
      <c r="F443" s="512"/>
      <c r="G443" s="480"/>
      <c r="H443" s="481"/>
      <c r="I443" s="482"/>
      <c r="J443" s="483"/>
      <c r="K443" s="480"/>
      <c r="L443" s="481"/>
      <c r="M443" s="482"/>
      <c r="N443" s="483">
        <v>1.7923295129733443</v>
      </c>
      <c r="O443" s="513">
        <v>6500</v>
      </c>
      <c r="P443" s="514">
        <v>7549</v>
      </c>
      <c r="Q443" s="486">
        <v>7.3099999999999998E-2</v>
      </c>
      <c r="R443" s="485">
        <v>9.01</v>
      </c>
      <c r="S443" s="515">
        <v>19</v>
      </c>
      <c r="T443" s="516">
        <v>63.7</v>
      </c>
      <c r="U443" s="490">
        <v>8</v>
      </c>
      <c r="V443" s="373"/>
      <c r="W443" s="391" t="s">
        <v>511</v>
      </c>
    </row>
    <row r="444" spans="1:23">
      <c r="A444" s="476" t="s">
        <v>915</v>
      </c>
      <c r="B444" s="542">
        <v>10.4</v>
      </c>
      <c r="C444" s="543">
        <v>22.5</v>
      </c>
      <c r="D444" s="543">
        <v>2.92</v>
      </c>
      <c r="E444" s="544">
        <v>6.04</v>
      </c>
      <c r="F444" s="512"/>
      <c r="G444" s="480"/>
      <c r="H444" s="481">
        <v>2.4828171122335672</v>
      </c>
      <c r="I444" s="482">
        <v>3000</v>
      </c>
      <c r="J444" s="483"/>
      <c r="K444" s="480"/>
      <c r="L444" s="481"/>
      <c r="M444" s="482"/>
      <c r="N444" s="483"/>
      <c r="O444" s="513"/>
      <c r="P444" s="514">
        <v>3806</v>
      </c>
      <c r="Q444" s="486">
        <v>7.3099999999999998E-2</v>
      </c>
      <c r="R444" s="485">
        <v>1.96</v>
      </c>
      <c r="S444" s="515">
        <v>4.0999999999999996</v>
      </c>
      <c r="T444" s="516">
        <v>30</v>
      </c>
      <c r="U444" s="490">
        <v>8</v>
      </c>
      <c r="V444" s="373"/>
      <c r="W444" s="391" t="s">
        <v>511</v>
      </c>
    </row>
    <row r="445" spans="1:23">
      <c r="A445" s="476" t="s">
        <v>916</v>
      </c>
      <c r="B445" s="542">
        <v>10.4</v>
      </c>
      <c r="C445" s="543">
        <v>22.5</v>
      </c>
      <c r="D445" s="543">
        <v>2.92</v>
      </c>
      <c r="E445" s="544">
        <v>6.04</v>
      </c>
      <c r="F445" s="512"/>
      <c r="G445" s="480"/>
      <c r="H445" s="481"/>
      <c r="I445" s="482"/>
      <c r="J445" s="483">
        <v>1.7796416363911933</v>
      </c>
      <c r="K445" s="480">
        <v>6600</v>
      </c>
      <c r="L445" s="481"/>
      <c r="M445" s="482"/>
      <c r="N445" s="483"/>
      <c r="O445" s="513"/>
      <c r="P445" s="514">
        <v>7980</v>
      </c>
      <c r="Q445" s="486">
        <v>7.3099999999999998E-2</v>
      </c>
      <c r="R445" s="485">
        <v>1.96</v>
      </c>
      <c r="S445" s="515">
        <v>4.0999999999999996</v>
      </c>
      <c r="T445" s="516">
        <v>30</v>
      </c>
      <c r="U445" s="490">
        <v>8</v>
      </c>
      <c r="V445" s="373"/>
      <c r="W445" s="391" t="s">
        <v>511</v>
      </c>
    </row>
    <row r="446" spans="1:23">
      <c r="A446" s="476" t="s">
        <v>917</v>
      </c>
      <c r="B446" s="542">
        <v>5.95</v>
      </c>
      <c r="C446" s="543">
        <v>5.45</v>
      </c>
      <c r="D446" s="543">
        <v>2.08</v>
      </c>
      <c r="E446" s="544">
        <v>1.65</v>
      </c>
      <c r="F446" s="512"/>
      <c r="G446" s="480"/>
      <c r="H446" s="481">
        <v>1.909859317102744</v>
      </c>
      <c r="I446" s="482">
        <v>750</v>
      </c>
      <c r="J446" s="483"/>
      <c r="K446" s="480"/>
      <c r="L446" s="481"/>
      <c r="M446" s="482"/>
      <c r="N446" s="483"/>
      <c r="O446" s="513"/>
      <c r="P446" s="514">
        <v>1460</v>
      </c>
      <c r="Q446" s="486">
        <v>5.1199999999999996E-2</v>
      </c>
      <c r="R446" s="485">
        <v>21.3</v>
      </c>
      <c r="S446" s="515">
        <v>66</v>
      </c>
      <c r="T446" s="516">
        <v>77.900000000000006</v>
      </c>
      <c r="U446" s="490">
        <v>10</v>
      </c>
      <c r="V446" s="373"/>
      <c r="W446" s="391" t="s">
        <v>511</v>
      </c>
    </row>
    <row r="447" spans="1:23">
      <c r="A447" s="476" t="s">
        <v>918</v>
      </c>
      <c r="B447" s="542">
        <v>5.95</v>
      </c>
      <c r="C447" s="543">
        <v>5.45</v>
      </c>
      <c r="D447" s="543">
        <v>2.08</v>
      </c>
      <c r="E447" s="544">
        <v>1.65</v>
      </c>
      <c r="F447" s="512"/>
      <c r="G447" s="480"/>
      <c r="H447" s="481"/>
      <c r="I447" s="482"/>
      <c r="J447" s="483">
        <v>1.8853739412424524</v>
      </c>
      <c r="K447" s="480">
        <v>1950</v>
      </c>
      <c r="L447" s="481"/>
      <c r="M447" s="482"/>
      <c r="N447" s="483"/>
      <c r="O447" s="513"/>
      <c r="P447" s="514">
        <v>3068</v>
      </c>
      <c r="Q447" s="486">
        <v>5.1199999999999996E-2</v>
      </c>
      <c r="R447" s="485">
        <v>21.3</v>
      </c>
      <c r="S447" s="515">
        <v>66</v>
      </c>
      <c r="T447" s="516">
        <v>77.900000000000006</v>
      </c>
      <c r="U447" s="490">
        <v>10</v>
      </c>
      <c r="V447" s="373"/>
      <c r="W447" s="391" t="s">
        <v>511</v>
      </c>
    </row>
    <row r="448" spans="1:23">
      <c r="A448" s="476" t="s">
        <v>919</v>
      </c>
      <c r="B448" s="542">
        <v>5.95</v>
      </c>
      <c r="C448" s="543">
        <v>5.45</v>
      </c>
      <c r="D448" s="543">
        <v>2.08</v>
      </c>
      <c r="E448" s="544">
        <v>1.65</v>
      </c>
      <c r="F448" s="512"/>
      <c r="G448" s="480"/>
      <c r="H448" s="481"/>
      <c r="I448" s="482"/>
      <c r="J448" s="483"/>
      <c r="K448" s="480"/>
      <c r="L448" s="481">
        <v>1.7590809499630535</v>
      </c>
      <c r="M448" s="482">
        <v>3800</v>
      </c>
      <c r="N448" s="483"/>
      <c r="O448" s="513"/>
      <c r="P448" s="514">
        <v>5132</v>
      </c>
      <c r="Q448" s="486">
        <v>5.1199999999999996E-2</v>
      </c>
      <c r="R448" s="485">
        <v>21.3</v>
      </c>
      <c r="S448" s="515">
        <v>66</v>
      </c>
      <c r="T448" s="516">
        <v>77.900000000000006</v>
      </c>
      <c r="U448" s="490">
        <v>10</v>
      </c>
      <c r="V448" s="373"/>
      <c r="W448" s="391" t="s">
        <v>511</v>
      </c>
    </row>
    <row r="449" spans="1:23">
      <c r="A449" s="476" t="s">
        <v>920</v>
      </c>
      <c r="B449" s="542">
        <v>5.95</v>
      </c>
      <c r="C449" s="543">
        <v>5.45</v>
      </c>
      <c r="D449" s="543">
        <v>2.08</v>
      </c>
      <c r="E449" s="544">
        <v>1.65</v>
      </c>
      <c r="F449" s="512"/>
      <c r="G449" s="480"/>
      <c r="H449" s="481"/>
      <c r="I449" s="482"/>
      <c r="J449" s="483"/>
      <c r="K449" s="480"/>
      <c r="L449" s="481"/>
      <c r="M449" s="482"/>
      <c r="N449" s="483">
        <v>1.6634258568314222</v>
      </c>
      <c r="O449" s="513">
        <v>4650</v>
      </c>
      <c r="P449" s="514">
        <v>6166</v>
      </c>
      <c r="Q449" s="486">
        <v>5.1199999999999996E-2</v>
      </c>
      <c r="R449" s="485">
        <v>21.3</v>
      </c>
      <c r="S449" s="515">
        <v>66</v>
      </c>
      <c r="T449" s="516">
        <v>77.900000000000006</v>
      </c>
      <c r="U449" s="490">
        <v>10</v>
      </c>
      <c r="V449" s="373"/>
      <c r="W449" s="391" t="s">
        <v>511</v>
      </c>
    </row>
    <row r="450" spans="1:23">
      <c r="A450" s="476" t="s">
        <v>921</v>
      </c>
      <c r="B450" s="542">
        <v>6.14</v>
      </c>
      <c r="C450" s="543">
        <v>10.9</v>
      </c>
      <c r="D450" s="543">
        <v>2.0699999999999998</v>
      </c>
      <c r="E450" s="544">
        <v>3.11</v>
      </c>
      <c r="F450" s="512"/>
      <c r="G450" s="480"/>
      <c r="H450" s="481">
        <v>1.8568076694054458</v>
      </c>
      <c r="I450" s="482">
        <v>1800</v>
      </c>
      <c r="J450" s="483"/>
      <c r="K450" s="480"/>
      <c r="L450" s="481"/>
      <c r="M450" s="482"/>
      <c r="N450" s="483"/>
      <c r="O450" s="513"/>
      <c r="P450" s="514">
        <v>2782</v>
      </c>
      <c r="Q450" s="486">
        <v>5.1199999999999996E-2</v>
      </c>
      <c r="R450" s="485">
        <v>6.02</v>
      </c>
      <c r="S450" s="515">
        <v>18</v>
      </c>
      <c r="T450" s="516">
        <v>41.2</v>
      </c>
      <c r="U450" s="490">
        <v>10</v>
      </c>
      <c r="V450" s="373"/>
      <c r="W450" s="391" t="s">
        <v>511</v>
      </c>
    </row>
    <row r="451" spans="1:23">
      <c r="A451" s="476" t="s">
        <v>922</v>
      </c>
      <c r="B451" s="542">
        <v>6.14</v>
      </c>
      <c r="C451" s="543">
        <v>10.9</v>
      </c>
      <c r="D451" s="543">
        <v>2.0699999999999998</v>
      </c>
      <c r="E451" s="544">
        <v>3.11</v>
      </c>
      <c r="F451" s="512"/>
      <c r="G451" s="480"/>
      <c r="H451" s="481"/>
      <c r="I451" s="482"/>
      <c r="J451" s="483">
        <v>1.7052315331274501</v>
      </c>
      <c r="K451" s="480">
        <v>4200</v>
      </c>
      <c r="L451" s="481"/>
      <c r="M451" s="482"/>
      <c r="N451" s="483"/>
      <c r="O451" s="513"/>
      <c r="P451" s="514">
        <v>5838</v>
      </c>
      <c r="Q451" s="486">
        <v>5.1199999999999996E-2</v>
      </c>
      <c r="R451" s="485">
        <v>6.02</v>
      </c>
      <c r="S451" s="515">
        <v>18</v>
      </c>
      <c r="T451" s="516">
        <v>41.2</v>
      </c>
      <c r="U451" s="490">
        <v>10</v>
      </c>
      <c r="V451" s="373"/>
      <c r="W451" s="391" t="s">
        <v>511</v>
      </c>
    </row>
    <row r="452" spans="1:23">
      <c r="A452" s="476" t="s">
        <v>923</v>
      </c>
      <c r="B452" s="542">
        <v>6.14</v>
      </c>
      <c r="C452" s="543">
        <v>10.9</v>
      </c>
      <c r="D452" s="543">
        <v>2.0699999999999998</v>
      </c>
      <c r="E452" s="544">
        <v>3.11</v>
      </c>
      <c r="F452" s="512"/>
      <c r="G452" s="480"/>
      <c r="H452" s="481"/>
      <c r="I452" s="482"/>
      <c r="J452" s="483"/>
      <c r="K452" s="480"/>
      <c r="L452" s="481">
        <v>1.0653261508694498</v>
      </c>
      <c r="M452" s="482">
        <v>8650</v>
      </c>
      <c r="N452" s="483"/>
      <c r="O452" s="513"/>
      <c r="P452" s="514">
        <v>9600</v>
      </c>
      <c r="Q452" s="486">
        <v>5.1199999999999996E-2</v>
      </c>
      <c r="R452" s="485">
        <v>6.02</v>
      </c>
      <c r="S452" s="515">
        <v>18</v>
      </c>
      <c r="T452" s="516">
        <v>41.2</v>
      </c>
      <c r="U452" s="490">
        <v>10</v>
      </c>
      <c r="V452" s="373"/>
      <c r="W452" s="391" t="s">
        <v>511</v>
      </c>
    </row>
    <row r="453" spans="1:23">
      <c r="A453" s="476" t="s">
        <v>924</v>
      </c>
      <c r="B453" s="542">
        <v>6.14</v>
      </c>
      <c r="C453" s="543">
        <v>10.9</v>
      </c>
      <c r="D453" s="543">
        <v>2.0699999999999998</v>
      </c>
      <c r="E453" s="544">
        <v>3.11</v>
      </c>
      <c r="F453" s="512"/>
      <c r="G453" s="480"/>
      <c r="H453" s="481"/>
      <c r="I453" s="482"/>
      <c r="J453" s="483"/>
      <c r="K453" s="480"/>
      <c r="L453" s="481"/>
      <c r="M453" s="482"/>
      <c r="N453" s="483">
        <v>0.71619724391352901</v>
      </c>
      <c r="O453" s="513">
        <v>9600</v>
      </c>
      <c r="P453" s="514">
        <v>9600</v>
      </c>
      <c r="Q453" s="486">
        <v>5.1199999999999996E-2</v>
      </c>
      <c r="R453" s="485">
        <v>6.02</v>
      </c>
      <c r="S453" s="515">
        <v>18</v>
      </c>
      <c r="T453" s="516">
        <v>41.2</v>
      </c>
      <c r="U453" s="490">
        <v>10</v>
      </c>
      <c r="V453" s="373"/>
      <c r="W453" s="391" t="s">
        <v>511</v>
      </c>
    </row>
    <row r="454" spans="1:23">
      <c r="A454" s="476" t="s">
        <v>925</v>
      </c>
      <c r="B454" s="542">
        <v>6.35</v>
      </c>
      <c r="C454" s="543">
        <v>21.8</v>
      </c>
      <c r="D454" s="543">
        <v>2.0699999999999998</v>
      </c>
      <c r="E454" s="544">
        <v>6.1</v>
      </c>
      <c r="F454" s="512"/>
      <c r="G454" s="480"/>
      <c r="H454" s="481">
        <v>1.7384616860807027</v>
      </c>
      <c r="I454" s="482">
        <v>3900</v>
      </c>
      <c r="J454" s="483"/>
      <c r="K454" s="480"/>
      <c r="L454" s="481"/>
      <c r="M454" s="482"/>
      <c r="N454" s="483"/>
      <c r="O454" s="513"/>
      <c r="P454" s="514">
        <v>5468</v>
      </c>
      <c r="Q454" s="486">
        <v>5.1199999999999996E-2</v>
      </c>
      <c r="R454" s="485">
        <v>1.56</v>
      </c>
      <c r="S454" s="515">
        <v>5</v>
      </c>
      <c r="T454" s="516">
        <v>21.5</v>
      </c>
      <c r="U454" s="490">
        <v>10</v>
      </c>
      <c r="V454" s="373"/>
      <c r="W454" s="391" t="s">
        <v>511</v>
      </c>
    </row>
    <row r="455" spans="1:23">
      <c r="A455" s="476" t="s">
        <v>926</v>
      </c>
      <c r="B455" s="542">
        <v>6.35</v>
      </c>
      <c r="C455" s="543">
        <v>21.8</v>
      </c>
      <c r="D455" s="543">
        <v>2.0699999999999998</v>
      </c>
      <c r="E455" s="544">
        <v>6.1</v>
      </c>
      <c r="F455" s="512"/>
      <c r="G455" s="480"/>
      <c r="H455" s="481"/>
      <c r="I455" s="482"/>
      <c r="J455" s="483">
        <v>0.90187801085407349</v>
      </c>
      <c r="K455" s="480">
        <v>9000</v>
      </c>
      <c r="L455" s="481"/>
      <c r="M455" s="482"/>
      <c r="N455" s="483"/>
      <c r="O455" s="513"/>
      <c r="P455" s="514">
        <v>9600</v>
      </c>
      <c r="Q455" s="486">
        <v>5.1199999999999996E-2</v>
      </c>
      <c r="R455" s="485">
        <v>1.56</v>
      </c>
      <c r="S455" s="515">
        <v>5</v>
      </c>
      <c r="T455" s="516">
        <v>21.5</v>
      </c>
      <c r="U455" s="490">
        <v>10</v>
      </c>
      <c r="V455" s="373"/>
      <c r="W455" s="391" t="s">
        <v>511</v>
      </c>
    </row>
    <row r="456" spans="1:23">
      <c r="A456" s="476" t="s">
        <v>927</v>
      </c>
      <c r="B456" s="542">
        <v>12.2</v>
      </c>
      <c r="C456" s="543">
        <v>6.08</v>
      </c>
      <c r="D456" s="543">
        <v>3.58</v>
      </c>
      <c r="E456" s="544">
        <v>1.59</v>
      </c>
      <c r="F456" s="512"/>
      <c r="G456" s="480"/>
      <c r="H456" s="481">
        <v>3.3104228163114229</v>
      </c>
      <c r="I456" s="482">
        <v>375</v>
      </c>
      <c r="J456" s="483"/>
      <c r="K456" s="480"/>
      <c r="L456" s="481"/>
      <c r="M456" s="482"/>
      <c r="N456" s="483"/>
      <c r="O456" s="513"/>
      <c r="P456" s="514">
        <v>812</v>
      </c>
      <c r="Q456" s="486">
        <v>9.5399999999999999E-2</v>
      </c>
      <c r="R456" s="485">
        <v>27.5</v>
      </c>
      <c r="S456" s="515">
        <v>97</v>
      </c>
      <c r="T456" s="516">
        <v>140</v>
      </c>
      <c r="U456" s="490">
        <v>10</v>
      </c>
      <c r="V456" s="373"/>
      <c r="W456" s="391" t="s">
        <v>511</v>
      </c>
    </row>
    <row r="457" spans="1:23">
      <c r="A457" s="476" t="s">
        <v>928</v>
      </c>
      <c r="B457" s="542">
        <v>12.2</v>
      </c>
      <c r="C457" s="543">
        <v>6.08</v>
      </c>
      <c r="D457" s="543">
        <v>3.58</v>
      </c>
      <c r="E457" s="544">
        <v>1.59</v>
      </c>
      <c r="F457" s="512"/>
      <c r="G457" s="480"/>
      <c r="H457" s="481"/>
      <c r="I457" s="482"/>
      <c r="J457" s="483">
        <v>3.2293984816464585</v>
      </c>
      <c r="K457" s="480">
        <v>1100</v>
      </c>
      <c r="L457" s="481"/>
      <c r="M457" s="482"/>
      <c r="N457" s="483"/>
      <c r="O457" s="513"/>
      <c r="P457" s="514">
        <v>1710</v>
      </c>
      <c r="Q457" s="486">
        <v>9.5399999999999999E-2</v>
      </c>
      <c r="R457" s="485">
        <v>27.5</v>
      </c>
      <c r="S457" s="515">
        <v>97</v>
      </c>
      <c r="T457" s="516">
        <v>140</v>
      </c>
      <c r="U457" s="490">
        <v>10</v>
      </c>
      <c r="V457" s="373"/>
      <c r="W457" s="391" t="s">
        <v>511</v>
      </c>
    </row>
    <row r="458" spans="1:23">
      <c r="A458" s="476" t="s">
        <v>929</v>
      </c>
      <c r="B458" s="542">
        <v>12.2</v>
      </c>
      <c r="C458" s="543">
        <v>6.08</v>
      </c>
      <c r="D458" s="543">
        <v>3.58</v>
      </c>
      <c r="E458" s="544">
        <v>1.59</v>
      </c>
      <c r="F458" s="512"/>
      <c r="G458" s="480"/>
      <c r="H458" s="481"/>
      <c r="I458" s="482"/>
      <c r="J458" s="483"/>
      <c r="K458" s="480"/>
      <c r="L458" s="481">
        <v>3.1376260209545084</v>
      </c>
      <c r="M458" s="482">
        <v>2100</v>
      </c>
      <c r="N458" s="483"/>
      <c r="O458" s="513"/>
      <c r="P458" s="514">
        <v>2861</v>
      </c>
      <c r="Q458" s="486">
        <v>9.5399999999999999E-2</v>
      </c>
      <c r="R458" s="485">
        <v>27.5</v>
      </c>
      <c r="S458" s="515">
        <v>97</v>
      </c>
      <c r="T458" s="516">
        <v>140</v>
      </c>
      <c r="U458" s="490">
        <v>10</v>
      </c>
      <c r="V458" s="373"/>
      <c r="W458" s="391" t="s">
        <v>511</v>
      </c>
    </row>
    <row r="459" spans="1:23">
      <c r="A459" s="476" t="s">
        <v>930</v>
      </c>
      <c r="B459" s="542">
        <v>12.2</v>
      </c>
      <c r="C459" s="543">
        <v>6.08</v>
      </c>
      <c r="D459" s="543">
        <v>3.58</v>
      </c>
      <c r="E459" s="544">
        <v>1.59</v>
      </c>
      <c r="F459" s="512"/>
      <c r="G459" s="480"/>
      <c r="H459" s="481"/>
      <c r="I459" s="482"/>
      <c r="J459" s="483"/>
      <c r="K459" s="480"/>
      <c r="L459" s="481"/>
      <c r="M459" s="482"/>
      <c r="N459" s="483">
        <v>3.0667933265015219</v>
      </c>
      <c r="O459" s="513">
        <v>2600</v>
      </c>
      <c r="P459" s="514">
        <v>3438</v>
      </c>
      <c r="Q459" s="486">
        <v>9.5399999999999999E-2</v>
      </c>
      <c r="R459" s="485">
        <v>27.5</v>
      </c>
      <c r="S459" s="515">
        <v>97</v>
      </c>
      <c r="T459" s="516">
        <v>140</v>
      </c>
      <c r="U459" s="490">
        <v>10</v>
      </c>
      <c r="V459" s="373"/>
      <c r="W459" s="391" t="s">
        <v>511</v>
      </c>
    </row>
    <row r="460" spans="1:23">
      <c r="A460" s="476" t="s">
        <v>931</v>
      </c>
      <c r="B460" s="542">
        <v>12.3</v>
      </c>
      <c r="C460" s="543">
        <v>12.2</v>
      </c>
      <c r="D460" s="543">
        <v>3.52</v>
      </c>
      <c r="E460" s="544">
        <v>2.99</v>
      </c>
      <c r="F460" s="512"/>
      <c r="G460" s="480"/>
      <c r="H460" s="481">
        <v>3.246760839074665</v>
      </c>
      <c r="I460" s="482">
        <v>1000</v>
      </c>
      <c r="J460" s="483"/>
      <c r="K460" s="480"/>
      <c r="L460" s="481"/>
      <c r="M460" s="482"/>
      <c r="N460" s="483"/>
      <c r="O460" s="513"/>
      <c r="P460" s="514">
        <v>1565</v>
      </c>
      <c r="Q460" s="486">
        <v>9.5399999999999999E-2</v>
      </c>
      <c r="R460" s="485">
        <v>7.78</v>
      </c>
      <c r="S460" s="515">
        <v>27</v>
      </c>
      <c r="T460" s="516">
        <v>72.8</v>
      </c>
      <c r="U460" s="490">
        <v>10</v>
      </c>
      <c r="V460" s="373"/>
      <c r="W460" s="391" t="s">
        <v>511</v>
      </c>
    </row>
    <row r="461" spans="1:23">
      <c r="A461" s="476" t="s">
        <v>932</v>
      </c>
      <c r="B461" s="542">
        <v>12.3</v>
      </c>
      <c r="C461" s="543">
        <v>12.2</v>
      </c>
      <c r="D461" s="543">
        <v>3.52</v>
      </c>
      <c r="E461" s="544">
        <v>2.99</v>
      </c>
      <c r="F461" s="512"/>
      <c r="G461" s="480"/>
      <c r="H461" s="481"/>
      <c r="I461" s="482"/>
      <c r="J461" s="483">
        <v>3.0516230392837325</v>
      </c>
      <c r="K461" s="480">
        <v>2300</v>
      </c>
      <c r="L461" s="481"/>
      <c r="M461" s="482"/>
      <c r="N461" s="483"/>
      <c r="O461" s="513"/>
      <c r="P461" s="514">
        <v>3285</v>
      </c>
      <c r="Q461" s="486">
        <v>9.5399999999999999E-2</v>
      </c>
      <c r="R461" s="485">
        <v>7.78</v>
      </c>
      <c r="S461" s="515">
        <v>27</v>
      </c>
      <c r="T461" s="516">
        <v>72.8</v>
      </c>
      <c r="U461" s="490">
        <v>10</v>
      </c>
      <c r="V461" s="373"/>
      <c r="W461" s="391" t="s">
        <v>511</v>
      </c>
    </row>
    <row r="462" spans="1:23">
      <c r="A462" s="476" t="s">
        <v>933</v>
      </c>
      <c r="B462" s="542">
        <v>12.3</v>
      </c>
      <c r="C462" s="543">
        <v>12.2</v>
      </c>
      <c r="D462" s="543">
        <v>3.52</v>
      </c>
      <c r="E462" s="544">
        <v>2.99</v>
      </c>
      <c r="F462" s="512"/>
      <c r="G462" s="480"/>
      <c r="H462" s="481"/>
      <c r="I462" s="482"/>
      <c r="J462" s="483"/>
      <c r="K462" s="480"/>
      <c r="L462" s="481">
        <v>2.6043536142310146</v>
      </c>
      <c r="M462" s="482">
        <v>4400</v>
      </c>
      <c r="N462" s="483"/>
      <c r="O462" s="513"/>
      <c r="P462" s="514">
        <v>5495</v>
      </c>
      <c r="Q462" s="486">
        <v>9.5399999999999999E-2</v>
      </c>
      <c r="R462" s="485">
        <v>7.78</v>
      </c>
      <c r="S462" s="515">
        <v>27</v>
      </c>
      <c r="T462" s="516">
        <v>72.8</v>
      </c>
      <c r="U462" s="490">
        <v>10</v>
      </c>
      <c r="V462" s="373"/>
      <c r="W462" s="391" t="s">
        <v>511</v>
      </c>
    </row>
    <row r="463" spans="1:23">
      <c r="A463" s="476" t="s">
        <v>934</v>
      </c>
      <c r="B463" s="542">
        <v>12.3</v>
      </c>
      <c r="C463" s="543">
        <v>12.2</v>
      </c>
      <c r="D463" s="543">
        <v>3.52</v>
      </c>
      <c r="E463" s="544">
        <v>2.99</v>
      </c>
      <c r="F463" s="512"/>
      <c r="G463" s="480"/>
      <c r="H463" s="481"/>
      <c r="I463" s="482"/>
      <c r="J463" s="483"/>
      <c r="K463" s="480"/>
      <c r="L463" s="481"/>
      <c r="M463" s="482"/>
      <c r="N463" s="483">
        <v>2.2252489291013626</v>
      </c>
      <c r="O463" s="513">
        <v>5450</v>
      </c>
      <c r="P463" s="514">
        <v>6602</v>
      </c>
      <c r="Q463" s="486">
        <v>9.5399999999999999E-2</v>
      </c>
      <c r="R463" s="485">
        <v>7.78</v>
      </c>
      <c r="S463" s="515">
        <v>27</v>
      </c>
      <c r="T463" s="516">
        <v>72.8</v>
      </c>
      <c r="U463" s="490">
        <v>10</v>
      </c>
      <c r="V463" s="373"/>
      <c r="W463" s="391" t="s">
        <v>511</v>
      </c>
    </row>
    <row r="464" spans="1:23">
      <c r="A464" s="476" t="s">
        <v>935</v>
      </c>
      <c r="B464" s="542">
        <v>12.7</v>
      </c>
      <c r="C464" s="543">
        <v>21.9</v>
      </c>
      <c r="D464" s="543">
        <v>3.64</v>
      </c>
      <c r="E464" s="544">
        <v>5.27</v>
      </c>
      <c r="F464" s="512"/>
      <c r="G464" s="480"/>
      <c r="H464" s="481">
        <v>3.2166051656467265</v>
      </c>
      <c r="I464" s="482">
        <v>1900</v>
      </c>
      <c r="J464" s="483"/>
      <c r="K464" s="480"/>
      <c r="L464" s="481"/>
      <c r="M464" s="482"/>
      <c r="N464" s="483"/>
      <c r="O464" s="513"/>
      <c r="P464" s="514">
        <v>2797</v>
      </c>
      <c r="Q464" s="486">
        <v>9.5399999999999999E-2</v>
      </c>
      <c r="R464" s="485">
        <v>2.5099999999999998</v>
      </c>
      <c r="S464" s="515">
        <v>9.1999999999999993</v>
      </c>
      <c r="T464" s="516">
        <v>43</v>
      </c>
      <c r="U464" s="490">
        <v>10</v>
      </c>
      <c r="V464" s="373"/>
      <c r="W464" s="391" t="s">
        <v>511</v>
      </c>
    </row>
    <row r="465" spans="1:23">
      <c r="A465" s="476" t="s">
        <v>936</v>
      </c>
      <c r="B465" s="542">
        <v>12.7</v>
      </c>
      <c r="C465" s="543">
        <v>21.9</v>
      </c>
      <c r="D465" s="543">
        <v>3.64</v>
      </c>
      <c r="E465" s="544">
        <v>5.27</v>
      </c>
      <c r="F465" s="512"/>
      <c r="G465" s="480"/>
      <c r="H465" s="481"/>
      <c r="I465" s="482"/>
      <c r="J465" s="483">
        <v>2.6891697281044387</v>
      </c>
      <c r="K465" s="480">
        <v>4350</v>
      </c>
      <c r="L465" s="481"/>
      <c r="M465" s="482"/>
      <c r="N465" s="483"/>
      <c r="O465" s="513"/>
      <c r="P465" s="514">
        <v>5622</v>
      </c>
      <c r="Q465" s="486">
        <v>9.5399999999999999E-2</v>
      </c>
      <c r="R465" s="485">
        <v>2.5099999999999998</v>
      </c>
      <c r="S465" s="515">
        <v>9.1999999999999993</v>
      </c>
      <c r="T465" s="516">
        <v>43</v>
      </c>
      <c r="U465" s="490">
        <v>10</v>
      </c>
      <c r="V465" s="373"/>
      <c r="W465" s="391" t="s">
        <v>511</v>
      </c>
    </row>
    <row r="466" spans="1:23">
      <c r="A466" s="476" t="s">
        <v>937</v>
      </c>
      <c r="B466" s="542">
        <v>12.7</v>
      </c>
      <c r="C466" s="543">
        <v>21.9</v>
      </c>
      <c r="D466" s="543">
        <v>3.64</v>
      </c>
      <c r="E466" s="544">
        <v>5.27</v>
      </c>
      <c r="F466" s="512"/>
      <c r="G466" s="480"/>
      <c r="H466" s="481"/>
      <c r="I466" s="482"/>
      <c r="J466" s="483"/>
      <c r="K466" s="480"/>
      <c r="L466" s="481">
        <v>0.99787623049680418</v>
      </c>
      <c r="M466" s="482">
        <v>7560</v>
      </c>
      <c r="N466" s="483"/>
      <c r="O466" s="513"/>
      <c r="P466" s="514">
        <v>9375</v>
      </c>
      <c r="Q466" s="486">
        <v>9.5399999999999999E-2</v>
      </c>
      <c r="R466" s="485">
        <v>2.5099999999999998</v>
      </c>
      <c r="S466" s="515">
        <v>9.1999999999999993</v>
      </c>
      <c r="T466" s="516">
        <v>43</v>
      </c>
      <c r="U466" s="490">
        <v>10</v>
      </c>
      <c r="V466" s="373"/>
      <c r="W466" s="391" t="s">
        <v>511</v>
      </c>
    </row>
    <row r="467" spans="1:23">
      <c r="A467" s="476" t="s">
        <v>938</v>
      </c>
      <c r="B467" s="542">
        <v>12.8</v>
      </c>
      <c r="C467" s="543">
        <v>24.5</v>
      </c>
      <c r="D467" s="543">
        <v>3.58</v>
      </c>
      <c r="E467" s="544">
        <v>6.5</v>
      </c>
      <c r="F467" s="512"/>
      <c r="G467" s="480"/>
      <c r="H467" s="481">
        <v>3.083627022405472</v>
      </c>
      <c r="I467" s="482">
        <v>2400</v>
      </c>
      <c r="J467" s="483"/>
      <c r="K467" s="480"/>
      <c r="L467" s="481"/>
      <c r="M467" s="482"/>
      <c r="N467" s="483"/>
      <c r="O467" s="513"/>
      <c r="P467" s="514">
        <v>3365</v>
      </c>
      <c r="Q467" s="486">
        <v>9.5399999999999999E-2</v>
      </c>
      <c r="R467" s="485">
        <v>1.65</v>
      </c>
      <c r="S467" s="515">
        <v>3.1</v>
      </c>
      <c r="T467" s="516">
        <v>34.200000000000003</v>
      </c>
      <c r="U467" s="490">
        <v>10</v>
      </c>
      <c r="V467" s="373"/>
      <c r="W467" s="391" t="s">
        <v>511</v>
      </c>
    </row>
    <row r="468" spans="1:23">
      <c r="A468" s="476" t="s">
        <v>939</v>
      </c>
      <c r="B468" s="542">
        <v>12.8</v>
      </c>
      <c r="C468" s="543">
        <v>24.5</v>
      </c>
      <c r="D468" s="543">
        <v>3.58</v>
      </c>
      <c r="E468" s="544">
        <v>6.5</v>
      </c>
      <c r="F468" s="512"/>
      <c r="G468" s="480"/>
      <c r="H468" s="481"/>
      <c r="I468" s="482"/>
      <c r="J468" s="483">
        <v>2.1997486777344109</v>
      </c>
      <c r="K468" s="480">
        <v>5600</v>
      </c>
      <c r="L468" s="481"/>
      <c r="M468" s="482"/>
      <c r="N468" s="483"/>
      <c r="O468" s="513"/>
      <c r="P468" s="514">
        <v>7054</v>
      </c>
      <c r="Q468" s="486">
        <v>9.5399999999999999E-2</v>
      </c>
      <c r="R468" s="485">
        <v>1.65</v>
      </c>
      <c r="S468" s="515">
        <v>3.1</v>
      </c>
      <c r="T468" s="516">
        <v>34.200000000000003</v>
      </c>
      <c r="U468" s="490">
        <v>10</v>
      </c>
      <c r="V468" s="373"/>
      <c r="W468" s="391" t="s">
        <v>511</v>
      </c>
    </row>
    <row r="469" spans="1:23">
      <c r="A469" s="476" t="s">
        <v>940</v>
      </c>
      <c r="B469" s="542">
        <v>12.9</v>
      </c>
      <c r="C469" s="543">
        <v>39</v>
      </c>
      <c r="D469" s="543">
        <v>3.75</v>
      </c>
      <c r="E469" s="544">
        <v>9.33</v>
      </c>
      <c r="F469" s="512"/>
      <c r="G469" s="480"/>
      <c r="H469" s="481">
        <v>3.0012074983043124</v>
      </c>
      <c r="I469" s="482">
        <v>3500</v>
      </c>
      <c r="J469" s="483"/>
      <c r="K469" s="480"/>
      <c r="L469" s="481"/>
      <c r="M469" s="482"/>
      <c r="N469" s="483"/>
      <c r="O469" s="513"/>
      <c r="P469" s="514">
        <v>4633</v>
      </c>
      <c r="Q469" s="486">
        <v>9.5399999999999999E-2</v>
      </c>
      <c r="R469" s="485">
        <v>0.8</v>
      </c>
      <c r="S469" s="515">
        <v>3.1</v>
      </c>
      <c r="T469" s="516">
        <v>24.8</v>
      </c>
      <c r="U469" s="490">
        <v>10</v>
      </c>
      <c r="V469" s="373"/>
      <c r="W469" s="391" t="s">
        <v>511</v>
      </c>
    </row>
    <row r="470" spans="1:23">
      <c r="A470" s="476" t="s">
        <v>941</v>
      </c>
      <c r="B470" s="542">
        <v>12.9</v>
      </c>
      <c r="C470" s="543">
        <v>39</v>
      </c>
      <c r="D470" s="543">
        <v>3.75</v>
      </c>
      <c r="E470" s="544">
        <v>9.33</v>
      </c>
      <c r="F470" s="512"/>
      <c r="G470" s="480"/>
      <c r="H470" s="481"/>
      <c r="I470" s="482"/>
      <c r="J470" s="483">
        <v>1.1013522061959158</v>
      </c>
      <c r="K470" s="480">
        <v>7500</v>
      </c>
      <c r="L470" s="481"/>
      <c r="M470" s="482"/>
      <c r="N470" s="483"/>
      <c r="O470" s="513"/>
      <c r="P470" s="514">
        <v>9600</v>
      </c>
      <c r="Q470" s="486">
        <v>9.5399999999999999E-2</v>
      </c>
      <c r="R470" s="485">
        <v>0.8</v>
      </c>
      <c r="S470" s="515">
        <v>3.1</v>
      </c>
      <c r="T470" s="516">
        <v>24.8</v>
      </c>
      <c r="U470" s="490">
        <v>10</v>
      </c>
      <c r="V470" s="373"/>
      <c r="W470" s="391" t="s">
        <v>511</v>
      </c>
    </row>
    <row r="471" spans="1:23">
      <c r="A471" s="476" t="s">
        <v>942</v>
      </c>
      <c r="B471" s="542">
        <v>18.5</v>
      </c>
      <c r="C471" s="543">
        <v>13.8</v>
      </c>
      <c r="D471" s="543">
        <v>4.88</v>
      </c>
      <c r="E471" s="544">
        <v>3</v>
      </c>
      <c r="F471" s="512"/>
      <c r="G471" s="480"/>
      <c r="H471" s="481">
        <v>4.5018112474564687</v>
      </c>
      <c r="I471" s="482">
        <v>700</v>
      </c>
      <c r="J471" s="483"/>
      <c r="K471" s="480"/>
      <c r="L471" s="481"/>
      <c r="M471" s="482"/>
      <c r="N471" s="483"/>
      <c r="O471" s="513"/>
      <c r="P471" s="514">
        <v>1136</v>
      </c>
      <c r="Q471" s="486">
        <v>0.14200000000000002</v>
      </c>
      <c r="R471" s="485">
        <v>8.61</v>
      </c>
      <c r="S471" s="515">
        <v>33</v>
      </c>
      <c r="T471" s="516">
        <v>100</v>
      </c>
      <c r="U471" s="490">
        <v>10</v>
      </c>
      <c r="V471" s="373"/>
      <c r="W471" s="391" t="s">
        <v>511</v>
      </c>
    </row>
    <row r="472" spans="1:23">
      <c r="A472" s="476" t="s">
        <v>943</v>
      </c>
      <c r="B472" s="542">
        <v>18.5</v>
      </c>
      <c r="C472" s="543">
        <v>13.8</v>
      </c>
      <c r="D472" s="543">
        <v>4.88</v>
      </c>
      <c r="E472" s="544">
        <v>3</v>
      </c>
      <c r="F472" s="512"/>
      <c r="G472" s="480"/>
      <c r="H472" s="481"/>
      <c r="I472" s="482"/>
      <c r="J472" s="483">
        <v>4.2971834634811747</v>
      </c>
      <c r="K472" s="480">
        <v>1700</v>
      </c>
      <c r="L472" s="481"/>
      <c r="M472" s="482"/>
      <c r="N472" s="483"/>
      <c r="O472" s="513"/>
      <c r="P472" s="514">
        <v>2389</v>
      </c>
      <c r="Q472" s="486">
        <v>0.14200000000000002</v>
      </c>
      <c r="R472" s="485">
        <v>8.61</v>
      </c>
      <c r="S472" s="515">
        <v>33</v>
      </c>
      <c r="T472" s="516">
        <v>100</v>
      </c>
      <c r="U472" s="490">
        <v>10</v>
      </c>
      <c r="V472" s="373"/>
      <c r="W472" s="391" t="s">
        <v>511</v>
      </c>
    </row>
    <row r="473" spans="1:23">
      <c r="A473" s="476" t="s">
        <v>944</v>
      </c>
      <c r="B473" s="542">
        <v>18.5</v>
      </c>
      <c r="C473" s="543">
        <v>13.8</v>
      </c>
      <c r="D473" s="543">
        <v>4.88</v>
      </c>
      <c r="E473" s="544">
        <v>3</v>
      </c>
      <c r="F473" s="512"/>
      <c r="G473" s="480"/>
      <c r="H473" s="481"/>
      <c r="I473" s="482"/>
      <c r="J473" s="483"/>
      <c r="K473" s="480"/>
      <c r="L473" s="481">
        <v>3.5950293027816365</v>
      </c>
      <c r="M473" s="482">
        <v>3400</v>
      </c>
      <c r="N473" s="483"/>
      <c r="O473" s="513"/>
      <c r="P473" s="514">
        <v>3997</v>
      </c>
      <c r="Q473" s="486">
        <v>0.14200000000000002</v>
      </c>
      <c r="R473" s="485">
        <v>8.61</v>
      </c>
      <c r="S473" s="515">
        <v>33</v>
      </c>
      <c r="T473" s="516">
        <v>100</v>
      </c>
      <c r="U473" s="490">
        <v>10</v>
      </c>
      <c r="V473" s="373"/>
      <c r="W473" s="391" t="s">
        <v>511</v>
      </c>
    </row>
    <row r="474" spans="1:23">
      <c r="A474" s="476" t="s">
        <v>945</v>
      </c>
      <c r="B474" s="542">
        <v>18.5</v>
      </c>
      <c r="C474" s="543">
        <v>13.8</v>
      </c>
      <c r="D474" s="543">
        <v>4.88</v>
      </c>
      <c r="E474" s="544">
        <v>3</v>
      </c>
      <c r="F474" s="512"/>
      <c r="G474" s="480"/>
      <c r="H474" s="481"/>
      <c r="I474" s="482"/>
      <c r="J474" s="483"/>
      <c r="K474" s="480"/>
      <c r="L474" s="481"/>
      <c r="M474" s="482"/>
      <c r="N474" s="483">
        <v>3.4812625526936092</v>
      </c>
      <c r="O474" s="513">
        <v>3950</v>
      </c>
      <c r="P474" s="514">
        <v>4803</v>
      </c>
      <c r="Q474" s="486">
        <v>0.14200000000000002</v>
      </c>
      <c r="R474" s="485">
        <v>8.61</v>
      </c>
      <c r="S474" s="515">
        <v>33</v>
      </c>
      <c r="T474" s="516">
        <v>100</v>
      </c>
      <c r="U474" s="490">
        <v>10</v>
      </c>
      <c r="V474" s="373"/>
      <c r="W474" s="391" t="s">
        <v>511</v>
      </c>
    </row>
    <row r="475" spans="1:23">
      <c r="A475" s="476" t="s">
        <v>946</v>
      </c>
      <c r="B475" s="542">
        <v>18.8</v>
      </c>
      <c r="C475" s="543">
        <v>24.4</v>
      </c>
      <c r="D475" s="543">
        <v>4.8899999999999997</v>
      </c>
      <c r="E475" s="544">
        <v>5.32</v>
      </c>
      <c r="F475" s="512"/>
      <c r="G475" s="480"/>
      <c r="H475" s="481">
        <v>4.3653927248062727</v>
      </c>
      <c r="I475" s="482">
        <v>1400</v>
      </c>
      <c r="J475" s="483"/>
      <c r="K475" s="480"/>
      <c r="L475" s="481"/>
      <c r="M475" s="482"/>
      <c r="N475" s="483"/>
      <c r="O475" s="513"/>
      <c r="P475" s="514">
        <v>1998</v>
      </c>
      <c r="Q475" s="486">
        <v>0.14200000000000002</v>
      </c>
      <c r="R475" s="485">
        <v>2.81</v>
      </c>
      <c r="S475" s="515">
        <v>11</v>
      </c>
      <c r="T475" s="516">
        <v>57</v>
      </c>
      <c r="U475" s="490">
        <v>10</v>
      </c>
      <c r="V475" s="373"/>
      <c r="W475" s="391" t="s">
        <v>511</v>
      </c>
    </row>
    <row r="476" spans="1:23">
      <c r="A476" s="476" t="s">
        <v>947</v>
      </c>
      <c r="B476" s="542">
        <v>18.8</v>
      </c>
      <c r="C476" s="543">
        <v>24.4</v>
      </c>
      <c r="D476" s="543">
        <v>4.8899999999999997</v>
      </c>
      <c r="E476" s="544">
        <v>5.32</v>
      </c>
      <c r="F476" s="512"/>
      <c r="G476" s="480"/>
      <c r="H476" s="481"/>
      <c r="I476" s="482"/>
      <c r="J476" s="483">
        <v>3.8500338614610872</v>
      </c>
      <c r="K476" s="480">
        <v>3150</v>
      </c>
      <c r="L476" s="481"/>
      <c r="M476" s="482"/>
      <c r="N476" s="483"/>
      <c r="O476" s="513"/>
      <c r="P476" s="514">
        <v>4194</v>
      </c>
      <c r="Q476" s="486">
        <v>0.14200000000000002</v>
      </c>
      <c r="R476" s="485">
        <v>2.81</v>
      </c>
      <c r="S476" s="515">
        <v>11</v>
      </c>
      <c r="T476" s="516">
        <v>57</v>
      </c>
      <c r="U476" s="490">
        <v>10</v>
      </c>
      <c r="V476" s="373"/>
      <c r="W476" s="391" t="s">
        <v>511</v>
      </c>
    </row>
    <row r="477" spans="1:23">
      <c r="A477" s="476" t="s">
        <v>948</v>
      </c>
      <c r="B477" s="542">
        <v>18.8</v>
      </c>
      <c r="C477" s="543">
        <v>24.4</v>
      </c>
      <c r="D477" s="543">
        <v>4.8899999999999997</v>
      </c>
      <c r="E477" s="544">
        <v>5.32</v>
      </c>
      <c r="F477" s="512"/>
      <c r="G477" s="480"/>
      <c r="H477" s="481"/>
      <c r="I477" s="482"/>
      <c r="J477" s="483"/>
      <c r="K477" s="480"/>
      <c r="L477" s="481">
        <v>1.8011681364546206</v>
      </c>
      <c r="M477" s="482">
        <v>6150</v>
      </c>
      <c r="N477" s="483"/>
      <c r="O477" s="513"/>
      <c r="P477" s="514">
        <v>7006</v>
      </c>
      <c r="Q477" s="486">
        <v>0.14200000000000002</v>
      </c>
      <c r="R477" s="485">
        <v>2.81</v>
      </c>
      <c r="S477" s="515">
        <v>11</v>
      </c>
      <c r="T477" s="516">
        <v>57</v>
      </c>
      <c r="U477" s="490">
        <v>10</v>
      </c>
      <c r="V477" s="373"/>
      <c r="W477" s="391" t="s">
        <v>511</v>
      </c>
    </row>
    <row r="478" spans="1:23">
      <c r="A478" s="476" t="s">
        <v>949</v>
      </c>
      <c r="B478" s="542">
        <v>18.8</v>
      </c>
      <c r="C478" s="543">
        <v>27.2</v>
      </c>
      <c r="D478" s="543">
        <v>5.05</v>
      </c>
      <c r="E478" s="544">
        <v>6.14</v>
      </c>
      <c r="F478" s="512"/>
      <c r="G478" s="480"/>
      <c r="H478" s="481">
        <v>4.4762327744595565</v>
      </c>
      <c r="I478" s="482">
        <v>1600</v>
      </c>
      <c r="J478" s="483"/>
      <c r="K478" s="480"/>
      <c r="L478" s="481"/>
      <c r="M478" s="482"/>
      <c r="N478" s="483"/>
      <c r="O478" s="513"/>
      <c r="P478" s="514">
        <v>2239</v>
      </c>
      <c r="Q478" s="486">
        <v>0.14200000000000002</v>
      </c>
      <c r="R478" s="485">
        <v>2.1</v>
      </c>
      <c r="S478" s="515">
        <v>8.8000000000000007</v>
      </c>
      <c r="T478" s="516">
        <v>51.34</v>
      </c>
      <c r="U478" s="490">
        <v>10</v>
      </c>
      <c r="V478" s="373"/>
      <c r="W478" s="391" t="s">
        <v>511</v>
      </c>
    </row>
    <row r="479" spans="1:23">
      <c r="A479" s="476" t="s">
        <v>950</v>
      </c>
      <c r="B479" s="542">
        <v>18.8</v>
      </c>
      <c r="C479" s="543">
        <v>27.2</v>
      </c>
      <c r="D479" s="543">
        <v>5.05</v>
      </c>
      <c r="E479" s="544">
        <v>6.14</v>
      </c>
      <c r="F479" s="512"/>
      <c r="G479" s="480"/>
      <c r="H479" s="481"/>
      <c r="I479" s="482"/>
      <c r="J479" s="483">
        <v>3.8063629746453294</v>
      </c>
      <c r="K479" s="480">
        <v>3575</v>
      </c>
      <c r="L479" s="481"/>
      <c r="M479" s="482"/>
      <c r="N479" s="483"/>
      <c r="O479" s="513"/>
      <c r="P479" s="514">
        <v>4700</v>
      </c>
      <c r="Q479" s="486">
        <v>0.14200000000000002</v>
      </c>
      <c r="R479" s="485">
        <v>2.1</v>
      </c>
      <c r="S479" s="515">
        <v>8.8000000000000007</v>
      </c>
      <c r="T479" s="516">
        <v>51.34</v>
      </c>
      <c r="U479" s="490">
        <v>10</v>
      </c>
      <c r="V479" s="373"/>
      <c r="W479" s="391" t="s">
        <v>511</v>
      </c>
    </row>
    <row r="480" spans="1:23">
      <c r="A480" s="476" t="s">
        <v>951</v>
      </c>
      <c r="B480" s="542">
        <v>18.8</v>
      </c>
      <c r="C480" s="543">
        <v>27.2</v>
      </c>
      <c r="D480" s="543">
        <v>5.05</v>
      </c>
      <c r="E480" s="544">
        <v>6.14</v>
      </c>
      <c r="F480" s="512"/>
      <c r="G480" s="480"/>
      <c r="H480" s="481"/>
      <c r="I480" s="482"/>
      <c r="J480" s="483"/>
      <c r="K480" s="480"/>
      <c r="L480" s="481">
        <v>1.429447174066097</v>
      </c>
      <c r="M480" s="482">
        <v>6480</v>
      </c>
      <c r="N480" s="483"/>
      <c r="O480" s="513"/>
      <c r="P480" s="514">
        <v>7200</v>
      </c>
      <c r="Q480" s="486">
        <v>0.14200000000000002</v>
      </c>
      <c r="R480" s="485">
        <v>2.1</v>
      </c>
      <c r="S480" s="515">
        <v>8.8000000000000007</v>
      </c>
      <c r="T480" s="516">
        <v>51.34</v>
      </c>
      <c r="U480" s="490">
        <v>10</v>
      </c>
      <c r="V480" s="373"/>
      <c r="W480" s="391" t="s">
        <v>511</v>
      </c>
    </row>
    <row r="481" spans="1:23">
      <c r="A481" s="476" t="s">
        <v>952</v>
      </c>
      <c r="B481" s="542">
        <v>19</v>
      </c>
      <c r="C481" s="543">
        <v>48</v>
      </c>
      <c r="D481" s="543">
        <v>5</v>
      </c>
      <c r="E481" s="544">
        <v>10.38</v>
      </c>
      <c r="F481" s="512"/>
      <c r="G481" s="480"/>
      <c r="H481" s="481">
        <v>4.0139416156057672</v>
      </c>
      <c r="I481" s="482">
        <v>2950</v>
      </c>
      <c r="J481" s="483"/>
      <c r="K481" s="480"/>
      <c r="L481" s="481"/>
      <c r="M481" s="482"/>
      <c r="N481" s="483"/>
      <c r="O481" s="513"/>
      <c r="P481" s="514">
        <v>3838</v>
      </c>
      <c r="Q481" s="486">
        <v>0.14200000000000002</v>
      </c>
      <c r="R481" s="485">
        <v>0.74</v>
      </c>
      <c r="S481" s="515">
        <v>2.9</v>
      </c>
      <c r="T481" s="516">
        <v>30</v>
      </c>
      <c r="U481" s="490">
        <v>10</v>
      </c>
      <c r="V481" s="373"/>
      <c r="W481" s="391" t="s">
        <v>511</v>
      </c>
    </row>
    <row r="482" spans="1:23">
      <c r="A482" s="476" t="s">
        <v>953</v>
      </c>
      <c r="B482" s="542">
        <v>19</v>
      </c>
      <c r="C482" s="543">
        <v>48</v>
      </c>
      <c r="D482" s="543">
        <v>5</v>
      </c>
      <c r="E482" s="544">
        <v>10.38</v>
      </c>
      <c r="F482" s="512"/>
      <c r="G482" s="480"/>
      <c r="H482" s="481"/>
      <c r="I482" s="482"/>
      <c r="J482" s="483">
        <v>1.4103576495527956</v>
      </c>
      <c r="K482" s="480">
        <v>6500</v>
      </c>
      <c r="L482" s="481"/>
      <c r="M482" s="482"/>
      <c r="N482" s="483"/>
      <c r="O482" s="513"/>
      <c r="P482" s="514">
        <v>8030</v>
      </c>
      <c r="Q482" s="486">
        <v>0.14200000000000002</v>
      </c>
      <c r="R482" s="485">
        <v>0.74</v>
      </c>
      <c r="S482" s="515">
        <v>2.9</v>
      </c>
      <c r="T482" s="516">
        <v>30</v>
      </c>
      <c r="U482" s="490">
        <v>10</v>
      </c>
      <c r="V482" s="373"/>
      <c r="W482" s="391" t="s">
        <v>511</v>
      </c>
    </row>
    <row r="483" spans="1:23">
      <c r="A483" s="476" t="s">
        <v>954</v>
      </c>
      <c r="B483" s="542">
        <v>23.7</v>
      </c>
      <c r="C483" s="543">
        <v>14.5</v>
      </c>
      <c r="D483" s="543">
        <v>5.98</v>
      </c>
      <c r="E483" s="544">
        <v>3.15</v>
      </c>
      <c r="F483" s="512"/>
      <c r="G483" s="480"/>
      <c r="H483" s="481">
        <v>5.4908455366703892</v>
      </c>
      <c r="I483" s="482">
        <v>600</v>
      </c>
      <c r="J483" s="483"/>
      <c r="K483" s="480"/>
      <c r="L483" s="481"/>
      <c r="M483" s="482"/>
      <c r="N483" s="483"/>
      <c r="O483" s="513"/>
      <c r="P483" s="514">
        <v>960</v>
      </c>
      <c r="Q483" s="486">
        <v>0.20300000000000001</v>
      </c>
      <c r="R483" s="485">
        <v>8.64</v>
      </c>
      <c r="S483" s="515">
        <v>34</v>
      </c>
      <c r="T483" s="516">
        <v>118</v>
      </c>
      <c r="U483" s="490">
        <v>10</v>
      </c>
      <c r="V483" s="373"/>
      <c r="W483" s="391" t="s">
        <v>511</v>
      </c>
    </row>
    <row r="484" spans="1:23">
      <c r="A484" s="476" t="s">
        <v>955</v>
      </c>
      <c r="B484" s="542">
        <v>23.7</v>
      </c>
      <c r="C484" s="543">
        <v>14.5</v>
      </c>
      <c r="D484" s="543">
        <v>5.98</v>
      </c>
      <c r="E484" s="544">
        <v>3.15</v>
      </c>
      <c r="F484" s="512"/>
      <c r="G484" s="480"/>
      <c r="H484" s="481"/>
      <c r="I484" s="482"/>
      <c r="J484" s="483">
        <v>5.2862177526950962</v>
      </c>
      <c r="K484" s="480">
        <v>1400</v>
      </c>
      <c r="L484" s="481"/>
      <c r="M484" s="482"/>
      <c r="N484" s="483"/>
      <c r="O484" s="513"/>
      <c r="P484" s="514">
        <v>2018</v>
      </c>
      <c r="Q484" s="486">
        <v>0.20300000000000001</v>
      </c>
      <c r="R484" s="485">
        <v>8.64</v>
      </c>
      <c r="S484" s="515">
        <v>34</v>
      </c>
      <c r="T484" s="516">
        <v>118</v>
      </c>
      <c r="U484" s="490">
        <v>10</v>
      </c>
      <c r="V484" s="373"/>
      <c r="W484" s="391" t="s">
        <v>511</v>
      </c>
    </row>
    <row r="485" spans="1:23">
      <c r="A485" s="476" t="s">
        <v>956</v>
      </c>
      <c r="B485" s="542">
        <v>23.7</v>
      </c>
      <c r="C485" s="543">
        <v>14.5</v>
      </c>
      <c r="D485" s="543">
        <v>5.98</v>
      </c>
      <c r="E485" s="544">
        <v>3.15</v>
      </c>
      <c r="F485" s="512"/>
      <c r="G485" s="480"/>
      <c r="H485" s="481"/>
      <c r="I485" s="482"/>
      <c r="J485" s="483"/>
      <c r="K485" s="480"/>
      <c r="L485" s="481">
        <v>4.703912762493796</v>
      </c>
      <c r="M485" s="482">
        <v>2700</v>
      </c>
      <c r="N485" s="483"/>
      <c r="O485" s="513"/>
      <c r="P485" s="514">
        <v>3377</v>
      </c>
      <c r="Q485" s="486">
        <v>0.20300000000000001</v>
      </c>
      <c r="R485" s="485">
        <v>8.64</v>
      </c>
      <c r="S485" s="515">
        <v>34</v>
      </c>
      <c r="T485" s="516">
        <v>118</v>
      </c>
      <c r="U485" s="490">
        <v>10</v>
      </c>
      <c r="V485" s="373"/>
      <c r="W485" s="391" t="s">
        <v>511</v>
      </c>
    </row>
    <row r="486" spans="1:23">
      <c r="A486" s="476" t="s">
        <v>957</v>
      </c>
      <c r="B486" s="542">
        <v>23.7</v>
      </c>
      <c r="C486" s="543">
        <v>14.5</v>
      </c>
      <c r="D486" s="543">
        <v>5.98</v>
      </c>
      <c r="E486" s="544">
        <v>3.15</v>
      </c>
      <c r="F486" s="512"/>
      <c r="G486" s="480"/>
      <c r="H486" s="481"/>
      <c r="I486" s="482"/>
      <c r="J486" s="483"/>
      <c r="K486" s="480"/>
      <c r="L486" s="481"/>
      <c r="M486" s="482"/>
      <c r="N486" s="483">
        <v>4.332815167158464</v>
      </c>
      <c r="O486" s="513">
        <v>3350</v>
      </c>
      <c r="P486" s="514">
        <v>4058</v>
      </c>
      <c r="Q486" s="486">
        <v>0.20300000000000001</v>
      </c>
      <c r="R486" s="485">
        <v>8.64</v>
      </c>
      <c r="S486" s="515">
        <v>34</v>
      </c>
      <c r="T486" s="516">
        <v>118</v>
      </c>
      <c r="U486" s="490">
        <v>10</v>
      </c>
      <c r="V486" s="373"/>
      <c r="W486" s="391" t="s">
        <v>511</v>
      </c>
    </row>
    <row r="487" spans="1:23">
      <c r="A487" s="476" t="s">
        <v>958</v>
      </c>
      <c r="B487" s="542">
        <v>23.7</v>
      </c>
      <c r="C487" s="543">
        <v>25</v>
      </c>
      <c r="D487" s="543">
        <v>6.12</v>
      </c>
      <c r="E487" s="544">
        <v>5.53</v>
      </c>
      <c r="F487" s="512"/>
      <c r="G487" s="480"/>
      <c r="H487" s="481">
        <v>5.4510568008974154</v>
      </c>
      <c r="I487" s="482">
        <v>1200</v>
      </c>
      <c r="J487" s="483"/>
      <c r="K487" s="480"/>
      <c r="L487" s="481"/>
      <c r="M487" s="482"/>
      <c r="N487" s="483"/>
      <c r="O487" s="513"/>
      <c r="P487" s="514">
        <v>1660</v>
      </c>
      <c r="Q487" s="486">
        <v>0.20300000000000001</v>
      </c>
      <c r="R487" s="485">
        <v>2.8</v>
      </c>
      <c r="S487" s="515">
        <v>12</v>
      </c>
      <c r="T487" s="516">
        <v>69.3</v>
      </c>
      <c r="U487" s="490">
        <v>10</v>
      </c>
      <c r="V487" s="373"/>
      <c r="W487" s="391" t="s">
        <v>511</v>
      </c>
    </row>
    <row r="488" spans="1:23">
      <c r="A488" s="476" t="s">
        <v>959</v>
      </c>
      <c r="B488" s="542">
        <v>23.7</v>
      </c>
      <c r="C488" s="543">
        <v>25</v>
      </c>
      <c r="D488" s="543">
        <v>6.12</v>
      </c>
      <c r="E488" s="544">
        <v>5.53</v>
      </c>
      <c r="F488" s="512"/>
      <c r="G488" s="480"/>
      <c r="H488" s="481"/>
      <c r="I488" s="482"/>
      <c r="J488" s="483">
        <v>4.8647359963937822</v>
      </c>
      <c r="K488" s="480">
        <v>2650</v>
      </c>
      <c r="L488" s="481"/>
      <c r="M488" s="482"/>
      <c r="N488" s="483"/>
      <c r="O488" s="513"/>
      <c r="P488" s="514">
        <v>3485</v>
      </c>
      <c r="Q488" s="486">
        <v>0.20300000000000001</v>
      </c>
      <c r="R488" s="485">
        <v>2.8</v>
      </c>
      <c r="S488" s="515">
        <v>12</v>
      </c>
      <c r="T488" s="516">
        <v>69.3</v>
      </c>
      <c r="U488" s="490">
        <v>10</v>
      </c>
      <c r="V488" s="373"/>
      <c r="W488" s="391" t="s">
        <v>511</v>
      </c>
    </row>
    <row r="489" spans="1:23">
      <c r="A489" s="476" t="s">
        <v>960</v>
      </c>
      <c r="B489" s="542">
        <v>23.7</v>
      </c>
      <c r="C489" s="543">
        <v>25</v>
      </c>
      <c r="D489" s="543">
        <v>6.12</v>
      </c>
      <c r="E489" s="544">
        <v>5.53</v>
      </c>
      <c r="F489" s="512"/>
      <c r="G489" s="480"/>
      <c r="H489" s="481"/>
      <c r="I489" s="482"/>
      <c r="J489" s="483"/>
      <c r="K489" s="480"/>
      <c r="L489" s="481">
        <v>2.902986161996171</v>
      </c>
      <c r="M489" s="482">
        <v>5000</v>
      </c>
      <c r="N489" s="483"/>
      <c r="O489" s="513"/>
      <c r="P489" s="514">
        <v>5822</v>
      </c>
      <c r="Q489" s="486">
        <v>0.20300000000000001</v>
      </c>
      <c r="R489" s="485">
        <v>2.8</v>
      </c>
      <c r="S489" s="515">
        <v>12</v>
      </c>
      <c r="T489" s="516">
        <v>69.3</v>
      </c>
      <c r="U489" s="490">
        <v>10</v>
      </c>
      <c r="V489" s="373"/>
      <c r="W489" s="391" t="s">
        <v>511</v>
      </c>
    </row>
    <row r="490" spans="1:23">
      <c r="A490" s="476" t="s">
        <v>961</v>
      </c>
      <c r="B490" s="542">
        <v>23.7</v>
      </c>
      <c r="C490" s="543">
        <v>25</v>
      </c>
      <c r="D490" s="543">
        <v>6.12</v>
      </c>
      <c r="E490" s="544">
        <v>5.53</v>
      </c>
      <c r="F490" s="512"/>
      <c r="G490" s="480"/>
      <c r="H490" s="481"/>
      <c r="I490" s="482"/>
      <c r="J490" s="483"/>
      <c r="K490" s="480"/>
      <c r="L490" s="481"/>
      <c r="M490" s="482"/>
      <c r="N490" s="483">
        <v>1.8009638297240791</v>
      </c>
      <c r="O490" s="513">
        <v>5700</v>
      </c>
      <c r="P490" s="514">
        <v>6987</v>
      </c>
      <c r="Q490" s="486">
        <v>0.20300000000000001</v>
      </c>
      <c r="R490" s="485">
        <v>2.8</v>
      </c>
      <c r="S490" s="515">
        <v>12</v>
      </c>
      <c r="T490" s="516">
        <v>69.3</v>
      </c>
      <c r="U490" s="490">
        <v>10</v>
      </c>
      <c r="V490" s="373"/>
      <c r="W490" s="391" t="s">
        <v>511</v>
      </c>
    </row>
    <row r="491" spans="1:23">
      <c r="A491" s="476" t="s">
        <v>962</v>
      </c>
      <c r="B491" s="542">
        <v>23.7</v>
      </c>
      <c r="C491" s="543">
        <v>28.1</v>
      </c>
      <c r="D491" s="543">
        <v>6.1</v>
      </c>
      <c r="E491" s="544">
        <v>6.2</v>
      </c>
      <c r="F491" s="512"/>
      <c r="G491" s="480"/>
      <c r="H491" s="481">
        <v>5.4052622182153129</v>
      </c>
      <c r="I491" s="482">
        <v>1325</v>
      </c>
      <c r="J491" s="483"/>
      <c r="K491" s="480"/>
      <c r="L491" s="481"/>
      <c r="M491" s="482"/>
      <c r="N491" s="483"/>
      <c r="O491" s="513"/>
      <c r="P491" s="514">
        <v>1868</v>
      </c>
      <c r="Q491" s="486">
        <v>0.20300000000000001</v>
      </c>
      <c r="R491" s="485">
        <v>2.23</v>
      </c>
      <c r="S491" s="515">
        <v>9.1</v>
      </c>
      <c r="T491" s="516">
        <v>61.4</v>
      </c>
      <c r="U491" s="490">
        <v>10</v>
      </c>
      <c r="V491" s="373"/>
      <c r="W491" s="391" t="s">
        <v>511</v>
      </c>
    </row>
    <row r="492" spans="1:23">
      <c r="A492" s="476" t="s">
        <v>963</v>
      </c>
      <c r="B492" s="542">
        <v>23.7</v>
      </c>
      <c r="C492" s="543">
        <v>28.1</v>
      </c>
      <c r="D492" s="543">
        <v>6.1</v>
      </c>
      <c r="E492" s="544">
        <v>6.2</v>
      </c>
      <c r="F492" s="512"/>
      <c r="G492" s="480"/>
      <c r="H492" s="481"/>
      <c r="I492" s="482"/>
      <c r="J492" s="483">
        <v>4.6473243382833438</v>
      </c>
      <c r="K492" s="480">
        <v>3000</v>
      </c>
      <c r="L492" s="481"/>
      <c r="M492" s="482"/>
      <c r="N492" s="483"/>
      <c r="O492" s="513"/>
      <c r="P492" s="514">
        <v>3922</v>
      </c>
      <c r="Q492" s="486">
        <v>0.20300000000000001</v>
      </c>
      <c r="R492" s="485">
        <v>2.23</v>
      </c>
      <c r="S492" s="515">
        <v>9.1</v>
      </c>
      <c r="T492" s="516">
        <v>61.4</v>
      </c>
      <c r="U492" s="490">
        <v>10</v>
      </c>
      <c r="V492" s="373"/>
      <c r="W492" s="391" t="s">
        <v>511</v>
      </c>
    </row>
    <row r="493" spans="1:23">
      <c r="A493" s="476" t="s">
        <v>964</v>
      </c>
      <c r="B493" s="542">
        <v>23.7</v>
      </c>
      <c r="C493" s="543">
        <v>28.1</v>
      </c>
      <c r="D493" s="543">
        <v>6.1</v>
      </c>
      <c r="E493" s="544">
        <v>6.2</v>
      </c>
      <c r="F493" s="512"/>
      <c r="G493" s="480"/>
      <c r="H493" s="481"/>
      <c r="I493" s="482"/>
      <c r="J493" s="483"/>
      <c r="K493" s="480"/>
      <c r="L493" s="481">
        <v>1.6122189040477708</v>
      </c>
      <c r="M493" s="482">
        <v>5775</v>
      </c>
      <c r="N493" s="483"/>
      <c r="O493" s="513"/>
      <c r="P493" s="514">
        <v>6548</v>
      </c>
      <c r="Q493" s="486">
        <v>0.20300000000000001</v>
      </c>
      <c r="R493" s="485">
        <v>2.23</v>
      </c>
      <c r="S493" s="515">
        <v>9.1</v>
      </c>
      <c r="T493" s="516">
        <v>61.4</v>
      </c>
      <c r="U493" s="490">
        <v>10</v>
      </c>
      <c r="V493" s="373"/>
      <c r="W493" s="391" t="s">
        <v>511</v>
      </c>
    </row>
    <row r="494" spans="1:23">
      <c r="A494" s="476" t="s">
        <v>965</v>
      </c>
      <c r="B494" s="542">
        <v>24</v>
      </c>
      <c r="C494" s="543">
        <v>44</v>
      </c>
      <c r="D494" s="543">
        <v>6.07</v>
      </c>
      <c r="E494" s="544">
        <v>9.56</v>
      </c>
      <c r="F494" s="512"/>
      <c r="G494" s="480"/>
      <c r="H494" s="481">
        <v>5.5993602705966818</v>
      </c>
      <c r="I494" s="482">
        <v>2200</v>
      </c>
      <c r="J494" s="483"/>
      <c r="K494" s="480"/>
      <c r="L494" s="481"/>
      <c r="M494" s="482"/>
      <c r="N494" s="483"/>
      <c r="O494" s="513"/>
      <c r="P494" s="514">
        <v>2881</v>
      </c>
      <c r="Q494" s="486">
        <v>0.20300000000000001</v>
      </c>
      <c r="R494" s="485">
        <v>0.94</v>
      </c>
      <c r="S494" s="515">
        <v>3.8</v>
      </c>
      <c r="T494" s="516">
        <v>40</v>
      </c>
      <c r="U494" s="490">
        <v>10</v>
      </c>
      <c r="V494" s="373"/>
      <c r="W494" s="391" t="s">
        <v>511</v>
      </c>
    </row>
    <row r="495" spans="1:23">
      <c r="A495" s="476" t="s">
        <v>966</v>
      </c>
      <c r="B495" s="542">
        <v>24</v>
      </c>
      <c r="C495" s="543">
        <v>44</v>
      </c>
      <c r="D495" s="543">
        <v>6.07</v>
      </c>
      <c r="E495" s="544">
        <v>9.56</v>
      </c>
      <c r="F495" s="512"/>
      <c r="G495" s="480"/>
      <c r="H495" s="481"/>
      <c r="I495" s="482"/>
      <c r="J495" s="483">
        <v>3.9629580829881941</v>
      </c>
      <c r="K495" s="480">
        <v>5000</v>
      </c>
      <c r="L495" s="481"/>
      <c r="M495" s="482"/>
      <c r="N495" s="483"/>
      <c r="O495" s="513"/>
      <c r="P495" s="514">
        <v>6037</v>
      </c>
      <c r="Q495" s="486">
        <v>0.20300000000000001</v>
      </c>
      <c r="R495" s="485">
        <v>0.94</v>
      </c>
      <c r="S495" s="515">
        <v>3.8</v>
      </c>
      <c r="T495" s="516">
        <v>40</v>
      </c>
      <c r="U495" s="490">
        <v>10</v>
      </c>
      <c r="V495" s="373"/>
      <c r="W495" s="391" t="s">
        <v>511</v>
      </c>
    </row>
    <row r="496" spans="1:23">
      <c r="A496" s="476" t="s">
        <v>967</v>
      </c>
      <c r="B496" s="542">
        <v>14.37</v>
      </c>
      <c r="C496" s="543">
        <v>10.86</v>
      </c>
      <c r="D496" s="543">
        <v>4.9000000000000004</v>
      </c>
      <c r="E496" s="544">
        <v>3.1</v>
      </c>
      <c r="F496" s="512"/>
      <c r="G496" s="480"/>
      <c r="H496" s="481">
        <v>4.4336019861313707</v>
      </c>
      <c r="I496" s="482">
        <v>700</v>
      </c>
      <c r="J496" s="483"/>
      <c r="K496" s="480"/>
      <c r="L496" s="481"/>
      <c r="M496" s="482"/>
      <c r="N496" s="483"/>
      <c r="O496" s="513"/>
      <c r="P496" s="514">
        <v>1132</v>
      </c>
      <c r="Q496" s="486">
        <v>0.26600000000000001</v>
      </c>
      <c r="R496" s="485">
        <v>8.98</v>
      </c>
      <c r="S496" s="515">
        <v>37</v>
      </c>
      <c r="T496" s="516">
        <v>100.3</v>
      </c>
      <c r="U496" s="490">
        <v>10</v>
      </c>
      <c r="V496" s="373"/>
      <c r="W496" s="391" t="s">
        <v>511</v>
      </c>
    </row>
    <row r="497" spans="1:23">
      <c r="A497" s="476" t="s">
        <v>968</v>
      </c>
      <c r="B497" s="542">
        <v>14.37</v>
      </c>
      <c r="C497" s="543">
        <v>10.86</v>
      </c>
      <c r="D497" s="543">
        <v>4.9000000000000004</v>
      </c>
      <c r="E497" s="544">
        <v>3.1</v>
      </c>
      <c r="F497" s="512"/>
      <c r="G497" s="480"/>
      <c r="H497" s="481"/>
      <c r="I497" s="482"/>
      <c r="J497" s="483">
        <v>4.1090912580089336</v>
      </c>
      <c r="K497" s="480">
        <v>1650</v>
      </c>
      <c r="L497" s="481"/>
      <c r="M497" s="482"/>
      <c r="N497" s="483"/>
      <c r="O497" s="513"/>
      <c r="P497" s="514">
        <v>2379</v>
      </c>
      <c r="Q497" s="486">
        <v>0.26600000000000001</v>
      </c>
      <c r="R497" s="485">
        <v>8.98</v>
      </c>
      <c r="S497" s="515">
        <v>37</v>
      </c>
      <c r="T497" s="516">
        <v>100.3</v>
      </c>
      <c r="U497" s="490">
        <v>10</v>
      </c>
      <c r="V497" s="373"/>
      <c r="W497" s="391" t="s">
        <v>511</v>
      </c>
    </row>
    <row r="498" spans="1:23">
      <c r="A498" s="476" t="s">
        <v>969</v>
      </c>
      <c r="B498" s="542">
        <v>14.37</v>
      </c>
      <c r="C498" s="543">
        <v>10.86</v>
      </c>
      <c r="D498" s="543">
        <v>4.9000000000000004</v>
      </c>
      <c r="E498" s="544">
        <v>3.1</v>
      </c>
      <c r="F498" s="512"/>
      <c r="G498" s="480"/>
      <c r="H498" s="481"/>
      <c r="I498" s="482"/>
      <c r="J498" s="483"/>
      <c r="K498" s="480"/>
      <c r="L498" s="481">
        <v>3.304359770860303</v>
      </c>
      <c r="M498" s="482">
        <v>3150</v>
      </c>
      <c r="N498" s="483"/>
      <c r="O498" s="513"/>
      <c r="P498" s="514">
        <v>3979</v>
      </c>
      <c r="Q498" s="486">
        <v>0.26600000000000001</v>
      </c>
      <c r="R498" s="485">
        <v>8.98</v>
      </c>
      <c r="S498" s="515">
        <v>37</v>
      </c>
      <c r="T498" s="516">
        <v>100.3</v>
      </c>
      <c r="U498" s="490">
        <v>10</v>
      </c>
      <c r="V498" s="373"/>
      <c r="W498" s="391" t="s">
        <v>511</v>
      </c>
    </row>
    <row r="499" spans="1:23">
      <c r="A499" s="476" t="s">
        <v>970</v>
      </c>
      <c r="B499" s="542">
        <v>14.37</v>
      </c>
      <c r="C499" s="543">
        <v>10.86</v>
      </c>
      <c r="D499" s="543">
        <v>4.9000000000000004</v>
      </c>
      <c r="E499" s="544">
        <v>3.1</v>
      </c>
      <c r="F499" s="512"/>
      <c r="G499" s="480"/>
      <c r="H499" s="481"/>
      <c r="I499" s="482"/>
      <c r="J499" s="483"/>
      <c r="K499" s="480"/>
      <c r="L499" s="481"/>
      <c r="M499" s="482"/>
      <c r="N499" s="483">
        <v>2.7893997920842706</v>
      </c>
      <c r="O499" s="513">
        <v>3800</v>
      </c>
      <c r="P499" s="514">
        <v>4779</v>
      </c>
      <c r="Q499" s="486">
        <v>0.26600000000000001</v>
      </c>
      <c r="R499" s="485">
        <v>8.98</v>
      </c>
      <c r="S499" s="515">
        <v>37</v>
      </c>
      <c r="T499" s="516">
        <v>100.3</v>
      </c>
      <c r="U499" s="490">
        <v>10</v>
      </c>
      <c r="V499" s="373"/>
      <c r="W499" s="391" t="s">
        <v>511</v>
      </c>
    </row>
    <row r="500" spans="1:23">
      <c r="A500" s="476" t="s">
        <v>971</v>
      </c>
      <c r="B500" s="542">
        <v>14.64</v>
      </c>
      <c r="C500" s="543">
        <v>19.3</v>
      </c>
      <c r="D500" s="543">
        <v>4.96</v>
      </c>
      <c r="E500" s="544">
        <v>5.34</v>
      </c>
      <c r="F500" s="512"/>
      <c r="G500" s="480"/>
      <c r="H500" s="481">
        <v>4.2630788328186258</v>
      </c>
      <c r="I500" s="482">
        <v>1400</v>
      </c>
      <c r="J500" s="483"/>
      <c r="K500" s="480"/>
      <c r="L500" s="481"/>
      <c r="M500" s="482"/>
      <c r="N500" s="483"/>
      <c r="O500" s="513"/>
      <c r="P500" s="514">
        <v>1989</v>
      </c>
      <c r="Q500" s="486">
        <v>0.26600000000000001</v>
      </c>
      <c r="R500" s="485">
        <v>2.87</v>
      </c>
      <c r="S500" s="515">
        <v>12</v>
      </c>
      <c r="T500" s="516">
        <v>57.5</v>
      </c>
      <c r="U500" s="490">
        <v>10</v>
      </c>
      <c r="V500" s="373"/>
      <c r="W500" s="391" t="s">
        <v>511</v>
      </c>
    </row>
    <row r="501" spans="1:23">
      <c r="A501" s="476" t="s">
        <v>972</v>
      </c>
      <c r="B501" s="542">
        <v>14.64</v>
      </c>
      <c r="C501" s="543">
        <v>19.3</v>
      </c>
      <c r="D501" s="543">
        <v>4.96</v>
      </c>
      <c r="E501" s="544">
        <v>5.34</v>
      </c>
      <c r="F501" s="512"/>
      <c r="G501" s="480"/>
      <c r="H501" s="481"/>
      <c r="I501" s="482"/>
      <c r="J501" s="483">
        <v>3.3346749981159021</v>
      </c>
      <c r="K501" s="480">
        <v>3150</v>
      </c>
      <c r="L501" s="481"/>
      <c r="M501" s="482"/>
      <c r="N501" s="483"/>
      <c r="O501" s="513"/>
      <c r="P501" s="514">
        <v>4173</v>
      </c>
      <c r="Q501" s="486">
        <v>0.26600000000000001</v>
      </c>
      <c r="R501" s="485">
        <v>2.87</v>
      </c>
      <c r="S501" s="515">
        <v>12</v>
      </c>
      <c r="T501" s="516">
        <v>57.5</v>
      </c>
      <c r="U501" s="490">
        <v>10</v>
      </c>
      <c r="V501" s="373"/>
      <c r="W501" s="391" t="s">
        <v>511</v>
      </c>
    </row>
    <row r="502" spans="1:23">
      <c r="A502" s="476" t="s">
        <v>973</v>
      </c>
      <c r="B502" s="542">
        <v>14.64</v>
      </c>
      <c r="C502" s="543">
        <v>19.3</v>
      </c>
      <c r="D502" s="543">
        <v>4.96</v>
      </c>
      <c r="E502" s="544">
        <v>5.34</v>
      </c>
      <c r="F502" s="512"/>
      <c r="G502" s="480"/>
      <c r="H502" s="481"/>
      <c r="I502" s="482"/>
      <c r="J502" s="483"/>
      <c r="K502" s="480"/>
      <c r="L502" s="481">
        <v>1.4226503076377583</v>
      </c>
      <c r="M502" s="482">
        <v>4900</v>
      </c>
      <c r="N502" s="483"/>
      <c r="O502" s="513"/>
      <c r="P502" s="514">
        <v>6970</v>
      </c>
      <c r="Q502" s="486">
        <v>0.26600000000000001</v>
      </c>
      <c r="R502" s="485">
        <v>2.87</v>
      </c>
      <c r="S502" s="515">
        <v>12</v>
      </c>
      <c r="T502" s="516">
        <v>57.5</v>
      </c>
      <c r="U502" s="490">
        <v>10</v>
      </c>
      <c r="V502" s="373"/>
      <c r="W502" s="391" t="s">
        <v>511</v>
      </c>
    </row>
    <row r="503" spans="1:23">
      <c r="A503" s="476" t="s">
        <v>974</v>
      </c>
      <c r="B503" s="542">
        <v>15.1</v>
      </c>
      <c r="C503" s="543">
        <v>27.6</v>
      </c>
      <c r="D503" s="543">
        <v>4.8499999999999996</v>
      </c>
      <c r="E503" s="544">
        <v>6.45</v>
      </c>
      <c r="F503" s="512"/>
      <c r="G503" s="480"/>
      <c r="H503" s="481">
        <v>3.9834208613857238</v>
      </c>
      <c r="I503" s="482">
        <v>1750</v>
      </c>
      <c r="J503" s="483"/>
      <c r="K503" s="480"/>
      <c r="L503" s="481"/>
      <c r="M503" s="482"/>
      <c r="N503" s="483"/>
      <c r="O503" s="513"/>
      <c r="P503" s="514">
        <v>2470</v>
      </c>
      <c r="Q503" s="486">
        <v>0.26600000000000001</v>
      </c>
      <c r="R503" s="485">
        <v>1.97</v>
      </c>
      <c r="S503" s="515">
        <v>7.9</v>
      </c>
      <c r="T503" s="516">
        <v>46.3</v>
      </c>
      <c r="U503" s="490">
        <v>10</v>
      </c>
      <c r="V503" s="373"/>
      <c r="W503" s="391" t="s">
        <v>511</v>
      </c>
    </row>
    <row r="504" spans="1:23">
      <c r="A504" s="476" t="s">
        <v>975</v>
      </c>
      <c r="B504" s="542">
        <v>15.1</v>
      </c>
      <c r="C504" s="543">
        <v>27.6</v>
      </c>
      <c r="D504" s="543">
        <v>4.8499999999999996</v>
      </c>
      <c r="E504" s="544">
        <v>6.45</v>
      </c>
      <c r="F504" s="512"/>
      <c r="G504" s="480"/>
      <c r="H504" s="481"/>
      <c r="I504" s="482"/>
      <c r="J504" s="483">
        <v>2.3166932544737429</v>
      </c>
      <c r="K504" s="480">
        <v>4225</v>
      </c>
      <c r="L504" s="481"/>
      <c r="M504" s="482"/>
      <c r="N504" s="483"/>
      <c r="O504" s="513"/>
      <c r="P504" s="514">
        <v>5178</v>
      </c>
      <c r="Q504" s="486">
        <v>0.26600000000000001</v>
      </c>
      <c r="R504" s="485">
        <v>1.97</v>
      </c>
      <c r="S504" s="515">
        <v>7.9</v>
      </c>
      <c r="T504" s="516">
        <v>46.3</v>
      </c>
      <c r="U504" s="490">
        <v>10</v>
      </c>
      <c r="V504" s="373"/>
      <c r="W504" s="391" t="s">
        <v>511</v>
      </c>
    </row>
    <row r="505" spans="1:23">
      <c r="A505" s="476" t="s">
        <v>976</v>
      </c>
      <c r="B505" s="542">
        <v>15.2</v>
      </c>
      <c r="C505" s="543">
        <v>34.299999999999997</v>
      </c>
      <c r="D505" s="543">
        <v>4.75</v>
      </c>
      <c r="E505" s="544">
        <v>7.95</v>
      </c>
      <c r="F505" s="512"/>
      <c r="G505" s="480"/>
      <c r="H505" s="481">
        <v>3.6744032513824534</v>
      </c>
      <c r="I505" s="482">
        <v>2300</v>
      </c>
      <c r="J505" s="483"/>
      <c r="K505" s="480"/>
      <c r="L505" s="481"/>
      <c r="M505" s="482"/>
      <c r="N505" s="483"/>
      <c r="O505" s="513"/>
      <c r="P505" s="514">
        <v>3097</v>
      </c>
      <c r="Q505" s="486">
        <v>0.26600000000000001</v>
      </c>
      <c r="R505" s="485">
        <v>1.3</v>
      </c>
      <c r="S505" s="515">
        <v>5.2</v>
      </c>
      <c r="T505" s="516">
        <v>37.1</v>
      </c>
      <c r="U505" s="490">
        <v>10</v>
      </c>
      <c r="V505" s="373"/>
      <c r="W505" s="391" t="s">
        <v>511</v>
      </c>
    </row>
    <row r="506" spans="1:23">
      <c r="A506" s="476" t="s">
        <v>977</v>
      </c>
      <c r="B506" s="542">
        <v>15.2</v>
      </c>
      <c r="C506" s="543">
        <v>34.299999999999997</v>
      </c>
      <c r="D506" s="543">
        <v>4.75</v>
      </c>
      <c r="E506" s="544">
        <v>7.95</v>
      </c>
      <c r="F506" s="512"/>
      <c r="G506" s="480"/>
      <c r="H506" s="481"/>
      <c r="I506" s="482"/>
      <c r="J506" s="483">
        <v>1.3252085057447611</v>
      </c>
      <c r="K506" s="480">
        <v>4900</v>
      </c>
      <c r="L506" s="481"/>
      <c r="M506" s="482"/>
      <c r="N506" s="483"/>
      <c r="O506" s="513"/>
      <c r="P506" s="514">
        <v>6489</v>
      </c>
      <c r="Q506" s="486">
        <v>0.26600000000000001</v>
      </c>
      <c r="R506" s="485">
        <v>1.3</v>
      </c>
      <c r="S506" s="515">
        <v>5.2</v>
      </c>
      <c r="T506" s="516">
        <v>37.1</v>
      </c>
      <c r="U506" s="490">
        <v>10</v>
      </c>
      <c r="V506" s="373"/>
      <c r="W506" s="391" t="s">
        <v>511</v>
      </c>
    </row>
    <row r="507" spans="1:23">
      <c r="A507" s="476" t="s">
        <v>978</v>
      </c>
      <c r="B507" s="542">
        <v>15.32</v>
      </c>
      <c r="C507" s="543">
        <v>39</v>
      </c>
      <c r="D507" s="543">
        <v>5.09</v>
      </c>
      <c r="E507" s="544">
        <v>10.44</v>
      </c>
      <c r="F507" s="512"/>
      <c r="G507" s="480"/>
      <c r="H507" s="481">
        <v>3.6221469807121007</v>
      </c>
      <c r="I507" s="482">
        <v>2900</v>
      </c>
      <c r="J507" s="483"/>
      <c r="K507" s="480"/>
      <c r="L507" s="481"/>
      <c r="M507" s="482"/>
      <c r="N507" s="483"/>
      <c r="O507" s="513"/>
      <c r="P507" s="514">
        <v>3815</v>
      </c>
      <c r="Q507" s="486">
        <v>0.26600000000000001</v>
      </c>
      <c r="R507" s="485">
        <v>0.75</v>
      </c>
      <c r="S507" s="515">
        <v>3.4</v>
      </c>
      <c r="T507" s="516">
        <v>30</v>
      </c>
      <c r="U507" s="490">
        <v>10</v>
      </c>
      <c r="V507" s="373"/>
      <c r="W507" s="391" t="s">
        <v>511</v>
      </c>
    </row>
    <row r="508" spans="1:23">
      <c r="A508" s="476" t="s">
        <v>979</v>
      </c>
      <c r="B508" s="542">
        <v>15.32</v>
      </c>
      <c r="C508" s="543">
        <v>39</v>
      </c>
      <c r="D508" s="543">
        <v>5.09</v>
      </c>
      <c r="E508" s="544">
        <v>10.44</v>
      </c>
      <c r="F508" s="512"/>
      <c r="G508" s="480"/>
      <c r="H508" s="481"/>
      <c r="I508" s="482"/>
      <c r="J508" s="483">
        <v>1.4421386680163577</v>
      </c>
      <c r="K508" s="480">
        <v>4900</v>
      </c>
      <c r="L508" s="481"/>
      <c r="M508" s="482"/>
      <c r="N508" s="483"/>
      <c r="O508" s="513"/>
      <c r="P508" s="514">
        <v>6918</v>
      </c>
      <c r="Q508" s="486">
        <v>0.26600000000000001</v>
      </c>
      <c r="R508" s="485">
        <v>0.75</v>
      </c>
      <c r="S508" s="515">
        <v>3.4</v>
      </c>
      <c r="T508" s="516">
        <v>30</v>
      </c>
      <c r="U508" s="490">
        <v>10</v>
      </c>
      <c r="V508" s="373"/>
      <c r="W508" s="391" t="s">
        <v>511</v>
      </c>
    </row>
    <row r="509" spans="1:23">
      <c r="A509" s="476" t="s">
        <v>980</v>
      </c>
      <c r="B509" s="542">
        <v>15.73</v>
      </c>
      <c r="C509" s="543">
        <v>43.7</v>
      </c>
      <c r="D509" s="543">
        <v>4.63</v>
      </c>
      <c r="E509" s="544">
        <v>12</v>
      </c>
      <c r="F509" s="512"/>
      <c r="G509" s="480"/>
      <c r="H509" s="481">
        <v>2.4658943081579734</v>
      </c>
      <c r="I509" s="482">
        <v>3950</v>
      </c>
      <c r="J509" s="483"/>
      <c r="K509" s="480"/>
      <c r="L509" s="481"/>
      <c r="M509" s="482"/>
      <c r="N509" s="483"/>
      <c r="O509" s="513"/>
      <c r="P509" s="514">
        <v>4765</v>
      </c>
      <c r="Q509" s="486">
        <v>0.26600000000000001</v>
      </c>
      <c r="R509" s="485">
        <v>0.56000000000000005</v>
      </c>
      <c r="S509" s="515">
        <v>2.1</v>
      </c>
      <c r="T509" s="516">
        <v>23.7</v>
      </c>
      <c r="U509" s="490">
        <v>10</v>
      </c>
      <c r="V509" s="373"/>
      <c r="W509" s="391" t="s">
        <v>511</v>
      </c>
    </row>
    <row r="510" spans="1:23">
      <c r="A510" s="476" t="s">
        <v>981</v>
      </c>
      <c r="B510" s="542">
        <v>29.4</v>
      </c>
      <c r="C510" s="543">
        <v>15</v>
      </c>
      <c r="D510" s="543">
        <v>8.6999999999999993</v>
      </c>
      <c r="E510" s="544">
        <v>3.33</v>
      </c>
      <c r="F510" s="512"/>
      <c r="G510" s="480"/>
      <c r="H510" s="481">
        <v>8.0801740338962258</v>
      </c>
      <c r="I510" s="482">
        <v>390</v>
      </c>
      <c r="J510" s="483"/>
      <c r="K510" s="480"/>
      <c r="L510" s="481"/>
      <c r="M510" s="482"/>
      <c r="N510" s="483"/>
      <c r="O510" s="513"/>
      <c r="P510" s="514">
        <v>707</v>
      </c>
      <c r="Q510" s="486">
        <v>0.51500000000000001</v>
      </c>
      <c r="R510" s="485">
        <v>8.9600000000000009</v>
      </c>
      <c r="S510" s="515">
        <v>45</v>
      </c>
      <c r="T510" s="516">
        <v>162</v>
      </c>
      <c r="U510" s="490">
        <v>10</v>
      </c>
      <c r="V510" s="373"/>
      <c r="W510" s="391" t="s">
        <v>511</v>
      </c>
    </row>
    <row r="511" spans="1:23">
      <c r="A511" s="476" t="s">
        <v>982</v>
      </c>
      <c r="B511" s="542">
        <v>29.4</v>
      </c>
      <c r="C511" s="543">
        <v>15</v>
      </c>
      <c r="D511" s="543">
        <v>8.6999999999999993</v>
      </c>
      <c r="E511" s="544">
        <v>3.33</v>
      </c>
      <c r="F511" s="512"/>
      <c r="G511" s="480"/>
      <c r="H511" s="481"/>
      <c r="I511" s="482"/>
      <c r="J511" s="483">
        <v>8.0691556147590937</v>
      </c>
      <c r="K511" s="480">
        <v>1000</v>
      </c>
      <c r="L511" s="481"/>
      <c r="M511" s="482"/>
      <c r="N511" s="483"/>
      <c r="O511" s="513"/>
      <c r="P511" s="514">
        <v>1484</v>
      </c>
      <c r="Q511" s="486">
        <v>0.51500000000000001</v>
      </c>
      <c r="R511" s="485">
        <v>8.9600000000000009</v>
      </c>
      <c r="S511" s="515">
        <v>45</v>
      </c>
      <c r="T511" s="516">
        <v>162</v>
      </c>
      <c r="U511" s="490">
        <v>10</v>
      </c>
      <c r="V511" s="373"/>
      <c r="W511" s="391" t="s">
        <v>511</v>
      </c>
    </row>
    <row r="512" spans="1:23">
      <c r="A512" s="476" t="s">
        <v>983</v>
      </c>
      <c r="B512" s="542">
        <v>29.4</v>
      </c>
      <c r="C512" s="543">
        <v>15</v>
      </c>
      <c r="D512" s="543">
        <v>8.6999999999999993</v>
      </c>
      <c r="E512" s="544">
        <v>3.33</v>
      </c>
      <c r="F512" s="512"/>
      <c r="G512" s="480"/>
      <c r="H512" s="481"/>
      <c r="I512" s="482"/>
      <c r="J512" s="483"/>
      <c r="K512" s="480"/>
      <c r="L512" s="481">
        <v>7.5170103891095179</v>
      </c>
      <c r="M512" s="482">
        <v>1950</v>
      </c>
      <c r="N512" s="483"/>
      <c r="O512" s="513"/>
      <c r="P512" s="514">
        <v>2482</v>
      </c>
      <c r="Q512" s="486">
        <v>0.51500000000000001</v>
      </c>
      <c r="R512" s="485">
        <v>8.9600000000000009</v>
      </c>
      <c r="S512" s="515">
        <v>45</v>
      </c>
      <c r="T512" s="516">
        <v>162</v>
      </c>
      <c r="U512" s="490">
        <v>10</v>
      </c>
      <c r="V512" s="373"/>
      <c r="W512" s="391" t="s">
        <v>511</v>
      </c>
    </row>
    <row r="513" spans="1:23">
      <c r="A513" s="476" t="s">
        <v>984</v>
      </c>
      <c r="B513" s="542">
        <v>29.4</v>
      </c>
      <c r="C513" s="543">
        <v>15</v>
      </c>
      <c r="D513" s="543">
        <v>8.6999999999999993</v>
      </c>
      <c r="E513" s="544">
        <v>3.33</v>
      </c>
      <c r="F513" s="512"/>
      <c r="G513" s="480"/>
      <c r="H513" s="481"/>
      <c r="I513" s="482"/>
      <c r="J513" s="483"/>
      <c r="K513" s="480"/>
      <c r="L513" s="481"/>
      <c r="M513" s="482"/>
      <c r="N513" s="483">
        <v>7.4404935895461071</v>
      </c>
      <c r="O513" s="513">
        <v>2400</v>
      </c>
      <c r="P513" s="514">
        <v>2982</v>
      </c>
      <c r="Q513" s="486">
        <v>0.51500000000000001</v>
      </c>
      <c r="R513" s="485">
        <v>8.9600000000000009</v>
      </c>
      <c r="S513" s="515">
        <v>45</v>
      </c>
      <c r="T513" s="516">
        <v>162</v>
      </c>
      <c r="U513" s="490">
        <v>10</v>
      </c>
      <c r="V513" s="373"/>
      <c r="W513" s="391" t="s">
        <v>511</v>
      </c>
    </row>
    <row r="514" spans="1:23">
      <c r="A514" s="476" t="s">
        <v>985</v>
      </c>
      <c r="B514" s="542">
        <v>29.7</v>
      </c>
      <c r="C514" s="543">
        <v>23.6</v>
      </c>
      <c r="D514" s="543">
        <v>8.75</v>
      </c>
      <c r="E514" s="544">
        <v>5.18</v>
      </c>
      <c r="F514" s="512"/>
      <c r="G514" s="480"/>
      <c r="H514" s="481">
        <v>8.0214091318315255</v>
      </c>
      <c r="I514" s="482">
        <v>750</v>
      </c>
      <c r="J514" s="483"/>
      <c r="K514" s="480"/>
      <c r="L514" s="481"/>
      <c r="M514" s="482"/>
      <c r="N514" s="483"/>
      <c r="O514" s="513"/>
      <c r="P514" s="514">
        <v>1098</v>
      </c>
      <c r="Q514" s="486">
        <v>0.51500000000000001</v>
      </c>
      <c r="R514" s="485">
        <v>3.7</v>
      </c>
      <c r="S514" s="515">
        <v>19</v>
      </c>
      <c r="T514" s="516">
        <v>104</v>
      </c>
      <c r="U514" s="490">
        <v>10</v>
      </c>
      <c r="V514" s="373"/>
      <c r="W514" s="391" t="s">
        <v>511</v>
      </c>
    </row>
    <row r="515" spans="1:23">
      <c r="A515" s="476" t="s">
        <v>986</v>
      </c>
      <c r="B515" s="542">
        <v>29.7</v>
      </c>
      <c r="C515" s="543">
        <v>23.6</v>
      </c>
      <c r="D515" s="543">
        <v>8.75</v>
      </c>
      <c r="E515" s="544">
        <v>5.18</v>
      </c>
      <c r="F515" s="512"/>
      <c r="G515" s="480"/>
      <c r="H515" s="481"/>
      <c r="I515" s="482"/>
      <c r="J515" s="483">
        <v>7.6956096012669404</v>
      </c>
      <c r="K515" s="480">
        <v>1700</v>
      </c>
      <c r="L515" s="481"/>
      <c r="M515" s="482"/>
      <c r="N515" s="483"/>
      <c r="O515" s="513"/>
      <c r="P515" s="514">
        <v>2303</v>
      </c>
      <c r="Q515" s="486">
        <v>0.51500000000000001</v>
      </c>
      <c r="R515" s="485">
        <v>3.7</v>
      </c>
      <c r="S515" s="515">
        <v>19</v>
      </c>
      <c r="T515" s="516">
        <v>104</v>
      </c>
      <c r="U515" s="490">
        <v>10</v>
      </c>
      <c r="V515" s="373"/>
      <c r="W515" s="391" t="s">
        <v>511</v>
      </c>
    </row>
    <row r="516" spans="1:23">
      <c r="A516" s="476" t="s">
        <v>987</v>
      </c>
      <c r="B516" s="542">
        <v>29.7</v>
      </c>
      <c r="C516" s="543">
        <v>23.6</v>
      </c>
      <c r="D516" s="543">
        <v>8.75</v>
      </c>
      <c r="E516" s="544">
        <v>5.18</v>
      </c>
      <c r="F516" s="512"/>
      <c r="G516" s="480"/>
      <c r="H516" s="481"/>
      <c r="I516" s="482"/>
      <c r="J516" s="483"/>
      <c r="K516" s="480"/>
      <c r="L516" s="481">
        <v>6.7906109052542005</v>
      </c>
      <c r="M516" s="482">
        <v>3150</v>
      </c>
      <c r="N516" s="483"/>
      <c r="O516" s="513"/>
      <c r="P516" s="514">
        <v>3845</v>
      </c>
      <c r="Q516" s="486">
        <v>0.51500000000000001</v>
      </c>
      <c r="R516" s="485">
        <v>3.7</v>
      </c>
      <c r="S516" s="515">
        <v>19</v>
      </c>
      <c r="T516" s="516">
        <v>104</v>
      </c>
      <c r="U516" s="490">
        <v>10</v>
      </c>
      <c r="V516" s="373"/>
      <c r="W516" s="391" t="s">
        <v>511</v>
      </c>
    </row>
    <row r="517" spans="1:23">
      <c r="A517" s="476" t="s">
        <v>988</v>
      </c>
      <c r="B517" s="542">
        <v>29.7</v>
      </c>
      <c r="C517" s="543">
        <v>23.6</v>
      </c>
      <c r="D517" s="543">
        <v>8.75</v>
      </c>
      <c r="E517" s="544">
        <v>5.18</v>
      </c>
      <c r="F517" s="512"/>
      <c r="G517" s="480"/>
      <c r="H517" s="481"/>
      <c r="I517" s="482"/>
      <c r="J517" s="483"/>
      <c r="K517" s="480"/>
      <c r="L517" s="481"/>
      <c r="M517" s="482"/>
      <c r="N517" s="483">
        <v>6.0876765732649973</v>
      </c>
      <c r="O517" s="513">
        <v>4000</v>
      </c>
      <c r="P517" s="514">
        <v>4614</v>
      </c>
      <c r="Q517" s="486">
        <v>0.51500000000000001</v>
      </c>
      <c r="R517" s="485">
        <v>3.7</v>
      </c>
      <c r="S517" s="515">
        <v>19</v>
      </c>
      <c r="T517" s="516">
        <v>104</v>
      </c>
      <c r="U517" s="490">
        <v>10</v>
      </c>
      <c r="V517" s="373"/>
      <c r="W517" s="391" t="s">
        <v>511</v>
      </c>
    </row>
    <row r="518" spans="1:23">
      <c r="A518" s="476" t="s">
        <v>989</v>
      </c>
      <c r="B518" s="542">
        <v>29.7</v>
      </c>
      <c r="C518" s="543">
        <v>29.5</v>
      </c>
      <c r="D518" s="543">
        <v>8.75</v>
      </c>
      <c r="E518" s="544">
        <v>6.5</v>
      </c>
      <c r="F518" s="512"/>
      <c r="G518" s="480"/>
      <c r="H518" s="481">
        <v>7.9912534584035866</v>
      </c>
      <c r="I518" s="482">
        <v>950</v>
      </c>
      <c r="J518" s="483"/>
      <c r="K518" s="480"/>
      <c r="L518" s="481"/>
      <c r="M518" s="482"/>
      <c r="N518" s="483"/>
      <c r="O518" s="513"/>
      <c r="P518" s="514">
        <v>1380</v>
      </c>
      <c r="Q518" s="486">
        <v>0.51500000000000001</v>
      </c>
      <c r="R518" s="485">
        <v>2.35</v>
      </c>
      <c r="S518" s="515">
        <v>12</v>
      </c>
      <c r="T518" s="516">
        <v>83.4</v>
      </c>
      <c r="U518" s="490">
        <v>10</v>
      </c>
      <c r="V518" s="373"/>
      <c r="W518" s="391" t="s">
        <v>511</v>
      </c>
    </row>
    <row r="519" spans="1:23">
      <c r="A519" s="476" t="s">
        <v>990</v>
      </c>
      <c r="B519" s="542">
        <v>29.7</v>
      </c>
      <c r="C519" s="543">
        <v>29.5</v>
      </c>
      <c r="D519" s="543">
        <v>8.75</v>
      </c>
      <c r="E519" s="544">
        <v>6.5</v>
      </c>
      <c r="F519" s="512"/>
      <c r="G519" s="480"/>
      <c r="H519" s="481"/>
      <c r="I519" s="482"/>
      <c r="J519" s="483">
        <v>7.4617759365874656</v>
      </c>
      <c r="K519" s="480">
        <v>2150</v>
      </c>
      <c r="L519" s="481"/>
      <c r="M519" s="482"/>
      <c r="N519" s="483"/>
      <c r="O519" s="513"/>
      <c r="P519" s="514">
        <v>2895</v>
      </c>
      <c r="Q519" s="486">
        <v>0.51500000000000001</v>
      </c>
      <c r="R519" s="485">
        <v>2.35</v>
      </c>
      <c r="S519" s="515">
        <v>12</v>
      </c>
      <c r="T519" s="516">
        <v>83.4</v>
      </c>
      <c r="U519" s="490">
        <v>10</v>
      </c>
      <c r="V519" s="373"/>
      <c r="W519" s="391" t="s">
        <v>511</v>
      </c>
    </row>
    <row r="520" spans="1:23">
      <c r="A520" s="476" t="s">
        <v>991</v>
      </c>
      <c r="B520" s="542">
        <v>29.7</v>
      </c>
      <c r="C520" s="543">
        <v>29.5</v>
      </c>
      <c r="D520" s="543">
        <v>8.75</v>
      </c>
      <c r="E520" s="544">
        <v>6.5</v>
      </c>
      <c r="F520" s="512"/>
      <c r="G520" s="480"/>
      <c r="H520" s="481"/>
      <c r="I520" s="482"/>
      <c r="J520" s="483"/>
      <c r="K520" s="480"/>
      <c r="L520" s="481">
        <v>6.0399300903374282</v>
      </c>
      <c r="M520" s="482">
        <v>4000</v>
      </c>
      <c r="N520" s="483"/>
      <c r="O520" s="513"/>
      <c r="P520" s="514">
        <v>4826</v>
      </c>
      <c r="Q520" s="486">
        <v>0.51500000000000001</v>
      </c>
      <c r="R520" s="485">
        <v>2.35</v>
      </c>
      <c r="S520" s="515">
        <v>12</v>
      </c>
      <c r="T520" s="516">
        <v>83.4</v>
      </c>
      <c r="U520" s="490">
        <v>10</v>
      </c>
      <c r="V520" s="373"/>
      <c r="W520" s="391" t="s">
        <v>511</v>
      </c>
    </row>
    <row r="521" spans="1:23">
      <c r="A521" s="476" t="s">
        <v>992</v>
      </c>
      <c r="B521" s="542">
        <v>29.7</v>
      </c>
      <c r="C521" s="543">
        <v>29.5</v>
      </c>
      <c r="D521" s="543">
        <v>8.75</v>
      </c>
      <c r="E521" s="544">
        <v>6.5</v>
      </c>
      <c r="F521" s="512"/>
      <c r="G521" s="480"/>
      <c r="H521" s="481"/>
      <c r="I521" s="482"/>
      <c r="J521" s="483"/>
      <c r="K521" s="480"/>
      <c r="L521" s="481"/>
      <c r="M521" s="482"/>
      <c r="N521" s="483">
        <v>4.8414933688554562</v>
      </c>
      <c r="O521" s="513">
        <v>5000</v>
      </c>
      <c r="P521" s="514">
        <v>5791</v>
      </c>
      <c r="Q521" s="486">
        <v>0.51500000000000001</v>
      </c>
      <c r="R521" s="485">
        <v>2.35</v>
      </c>
      <c r="S521" s="515">
        <v>12</v>
      </c>
      <c r="T521" s="516">
        <v>83.4</v>
      </c>
      <c r="U521" s="490">
        <v>10</v>
      </c>
      <c r="V521" s="373"/>
      <c r="W521" s="391" t="s">
        <v>511</v>
      </c>
    </row>
    <row r="522" spans="1:23">
      <c r="A522" s="476" t="s">
        <v>993</v>
      </c>
      <c r="B522" s="542">
        <v>29.8</v>
      </c>
      <c r="C522" s="543">
        <v>37</v>
      </c>
      <c r="D522" s="543">
        <v>8.6199999999999992</v>
      </c>
      <c r="E522" s="544">
        <v>8</v>
      </c>
      <c r="F522" s="512"/>
      <c r="G522" s="480"/>
      <c r="H522" s="481">
        <v>7.7953441514397719</v>
      </c>
      <c r="I522" s="482">
        <v>1225</v>
      </c>
      <c r="J522" s="483"/>
      <c r="K522" s="480"/>
      <c r="L522" s="481"/>
      <c r="M522" s="482"/>
      <c r="N522" s="483"/>
      <c r="O522" s="513"/>
      <c r="P522" s="514">
        <v>1717</v>
      </c>
      <c r="Q522" s="486">
        <v>0.51500000000000001</v>
      </c>
      <c r="R522" s="485">
        <v>1.57</v>
      </c>
      <c r="S522" s="515">
        <v>7.8</v>
      </c>
      <c r="T522" s="516">
        <v>67</v>
      </c>
      <c r="U522" s="490">
        <v>10</v>
      </c>
      <c r="V522" s="373"/>
      <c r="W522" s="391" t="s">
        <v>511</v>
      </c>
    </row>
    <row r="523" spans="1:23">
      <c r="A523" s="476" t="s">
        <v>994</v>
      </c>
      <c r="B523" s="542">
        <v>29.8</v>
      </c>
      <c r="C523" s="543">
        <v>37</v>
      </c>
      <c r="D523" s="543">
        <v>8.6199999999999992</v>
      </c>
      <c r="E523" s="544">
        <v>8</v>
      </c>
      <c r="F523" s="512"/>
      <c r="G523" s="480"/>
      <c r="H523" s="481"/>
      <c r="I523" s="482"/>
      <c r="J523" s="483">
        <v>6.9736147541916713</v>
      </c>
      <c r="K523" s="480">
        <v>2725</v>
      </c>
      <c r="L523" s="481"/>
      <c r="M523" s="482"/>
      <c r="N523" s="483"/>
      <c r="O523" s="513"/>
      <c r="P523" s="514">
        <v>3597</v>
      </c>
      <c r="Q523" s="486">
        <v>0.51500000000000001</v>
      </c>
      <c r="R523" s="485">
        <v>1.57</v>
      </c>
      <c r="S523" s="515">
        <v>7.8</v>
      </c>
      <c r="T523" s="516">
        <v>67</v>
      </c>
      <c r="U523" s="490">
        <v>10</v>
      </c>
      <c r="V523" s="373"/>
      <c r="W523" s="391" t="s">
        <v>511</v>
      </c>
    </row>
    <row r="524" spans="1:23">
      <c r="A524" s="476" t="s">
        <v>995</v>
      </c>
      <c r="B524" s="542">
        <v>29.8</v>
      </c>
      <c r="C524" s="543">
        <v>37</v>
      </c>
      <c r="D524" s="543">
        <v>8.6199999999999992</v>
      </c>
      <c r="E524" s="544">
        <v>8</v>
      </c>
      <c r="F524" s="512"/>
      <c r="G524" s="480"/>
      <c r="H524" s="481"/>
      <c r="I524" s="482"/>
      <c r="J524" s="483"/>
      <c r="K524" s="480"/>
      <c r="L524" s="481">
        <v>4.4612543893712751</v>
      </c>
      <c r="M524" s="482">
        <v>5180</v>
      </c>
      <c r="N524" s="483"/>
      <c r="O524" s="513"/>
      <c r="P524" s="514">
        <v>5995</v>
      </c>
      <c r="Q524" s="486">
        <v>0.51500000000000001</v>
      </c>
      <c r="R524" s="485">
        <v>1.57</v>
      </c>
      <c r="S524" s="515">
        <v>7.8</v>
      </c>
      <c r="T524" s="516">
        <v>67</v>
      </c>
      <c r="U524" s="490">
        <v>10</v>
      </c>
      <c r="V524" s="373"/>
      <c r="W524" s="391" t="s">
        <v>511</v>
      </c>
    </row>
    <row r="525" spans="1:23">
      <c r="A525" s="476" t="s">
        <v>996</v>
      </c>
      <c r="B525" s="542">
        <v>29.8</v>
      </c>
      <c r="C525" s="543">
        <v>37</v>
      </c>
      <c r="D525" s="543">
        <v>8.6199999999999992</v>
      </c>
      <c r="E525" s="544">
        <v>8</v>
      </c>
      <c r="F525" s="512"/>
      <c r="G525" s="480"/>
      <c r="H525" s="481"/>
      <c r="I525" s="482"/>
      <c r="J525" s="483"/>
      <c r="K525" s="480"/>
      <c r="L525" s="481"/>
      <c r="M525" s="482"/>
      <c r="N525" s="483">
        <v>2.8488734813449264</v>
      </c>
      <c r="O525" s="513">
        <v>6000</v>
      </c>
      <c r="P525" s="514">
        <v>7193</v>
      </c>
      <c r="Q525" s="486">
        <v>0.51500000000000001</v>
      </c>
      <c r="R525" s="485">
        <v>1.57</v>
      </c>
      <c r="S525" s="515">
        <v>7.8</v>
      </c>
      <c r="T525" s="516">
        <v>67</v>
      </c>
      <c r="U525" s="490">
        <v>10</v>
      </c>
      <c r="V525" s="373"/>
      <c r="W525" s="391" t="s">
        <v>511</v>
      </c>
    </row>
    <row r="526" spans="1:23">
      <c r="A526" s="476" t="s">
        <v>997</v>
      </c>
      <c r="B526" s="542">
        <v>29.8</v>
      </c>
      <c r="C526" s="543">
        <v>46.5</v>
      </c>
      <c r="D526" s="543">
        <v>8.85</v>
      </c>
      <c r="E526" s="544">
        <v>10.199999999999999</v>
      </c>
      <c r="F526" s="512"/>
      <c r="G526" s="480"/>
      <c r="H526" s="481">
        <v>7.8184865793893579</v>
      </c>
      <c r="I526" s="482">
        <v>1600</v>
      </c>
      <c r="J526" s="483"/>
      <c r="K526" s="480"/>
      <c r="L526" s="481"/>
      <c r="M526" s="482"/>
      <c r="N526" s="483"/>
      <c r="O526" s="513"/>
      <c r="P526" s="514">
        <v>2143</v>
      </c>
      <c r="Q526" s="486">
        <v>0.51500000000000001</v>
      </c>
      <c r="R526" s="485">
        <v>0.96</v>
      </c>
      <c r="S526" s="515">
        <v>5</v>
      </c>
      <c r="T526" s="516">
        <v>54</v>
      </c>
      <c r="U526" s="490">
        <v>10</v>
      </c>
      <c r="V526" s="373"/>
      <c r="W526" s="391" t="s">
        <v>511</v>
      </c>
    </row>
    <row r="527" spans="1:23">
      <c r="A527" s="476" t="s">
        <v>998</v>
      </c>
      <c r="B527" s="542">
        <v>29.8</v>
      </c>
      <c r="C527" s="543">
        <v>46.5</v>
      </c>
      <c r="D527" s="543">
        <v>8.85</v>
      </c>
      <c r="E527" s="544">
        <v>10.199999999999999</v>
      </c>
      <c r="F527" s="512"/>
      <c r="G527" s="480"/>
      <c r="H527" s="481"/>
      <c r="I527" s="482"/>
      <c r="J527" s="483">
        <v>6.5120897548433847</v>
      </c>
      <c r="K527" s="480">
        <v>3600</v>
      </c>
      <c r="L527" s="481"/>
      <c r="M527" s="482"/>
      <c r="N527" s="483"/>
      <c r="O527" s="513"/>
      <c r="P527" s="514">
        <v>4480</v>
      </c>
      <c r="Q527" s="486">
        <v>0.51500000000000001</v>
      </c>
      <c r="R527" s="485">
        <v>0.96</v>
      </c>
      <c r="S527" s="515">
        <v>5</v>
      </c>
      <c r="T527" s="516">
        <v>54</v>
      </c>
      <c r="U527" s="490">
        <v>10</v>
      </c>
      <c r="V527" s="373"/>
      <c r="W527" s="391" t="s">
        <v>511</v>
      </c>
    </row>
    <row r="528" spans="1:23">
      <c r="A528" s="476" t="s">
        <v>999</v>
      </c>
      <c r="B528" s="542">
        <v>29.8</v>
      </c>
      <c r="C528" s="543">
        <v>43.3</v>
      </c>
      <c r="D528" s="543">
        <v>8.85</v>
      </c>
      <c r="E528" s="544">
        <v>10.199999999999999</v>
      </c>
      <c r="F528" s="512"/>
      <c r="G528" s="480"/>
      <c r="H528" s="481"/>
      <c r="I528" s="482"/>
      <c r="J528" s="483"/>
      <c r="K528" s="480"/>
      <c r="L528" s="481">
        <v>2.9443664472000637</v>
      </c>
      <c r="M528" s="482">
        <v>6000</v>
      </c>
      <c r="N528" s="483"/>
      <c r="O528" s="513"/>
      <c r="P528" s="514">
        <v>7430</v>
      </c>
      <c r="Q528" s="486">
        <v>0.51500000000000001</v>
      </c>
      <c r="R528" s="485">
        <v>0.96</v>
      </c>
      <c r="S528" s="515">
        <v>5</v>
      </c>
      <c r="T528" s="516">
        <v>54</v>
      </c>
      <c r="U528" s="490">
        <v>10</v>
      </c>
      <c r="V528" s="373"/>
      <c r="W528" s="391" t="s">
        <v>511</v>
      </c>
    </row>
    <row r="529" spans="1:23">
      <c r="A529" s="476" t="s">
        <v>1000</v>
      </c>
      <c r="B529" s="542">
        <v>30.1</v>
      </c>
      <c r="C529" s="543">
        <v>58</v>
      </c>
      <c r="D529" s="543">
        <v>8.93</v>
      </c>
      <c r="E529" s="544">
        <v>12.74</v>
      </c>
      <c r="F529" s="512"/>
      <c r="G529" s="480"/>
      <c r="H529" s="481">
        <v>7.639437268410977</v>
      </c>
      <c r="I529" s="482">
        <v>2100</v>
      </c>
      <c r="J529" s="483"/>
      <c r="K529" s="480"/>
      <c r="L529" s="481"/>
      <c r="M529" s="482"/>
      <c r="N529" s="483"/>
      <c r="O529" s="513"/>
      <c r="P529" s="514">
        <v>2666</v>
      </c>
      <c r="Q529" s="486">
        <v>0.51500000000000001</v>
      </c>
      <c r="R529" s="485">
        <v>0.61</v>
      </c>
      <c r="S529" s="515">
        <v>3.2</v>
      </c>
      <c r="T529" s="516">
        <v>43.3</v>
      </c>
      <c r="U529" s="490">
        <v>10</v>
      </c>
      <c r="V529" s="373"/>
      <c r="W529" s="391" t="s">
        <v>511</v>
      </c>
    </row>
    <row r="530" spans="1:23">
      <c r="A530" s="476" t="s">
        <v>1001</v>
      </c>
      <c r="B530" s="542">
        <v>30.1</v>
      </c>
      <c r="C530" s="543">
        <v>58</v>
      </c>
      <c r="D530" s="543">
        <v>8.93</v>
      </c>
      <c r="E530" s="544">
        <v>12.74</v>
      </c>
      <c r="F530" s="512"/>
      <c r="G530" s="480"/>
      <c r="H530" s="481"/>
      <c r="I530" s="482"/>
      <c r="J530" s="483">
        <v>5.6022539968347154</v>
      </c>
      <c r="K530" s="480">
        <v>4500</v>
      </c>
      <c r="L530" s="481"/>
      <c r="M530" s="482"/>
      <c r="N530" s="483"/>
      <c r="O530" s="513"/>
      <c r="P530" s="514">
        <v>5564</v>
      </c>
      <c r="Q530" s="486">
        <v>0.51500000000000001</v>
      </c>
      <c r="R530" s="485">
        <v>0.61</v>
      </c>
      <c r="S530" s="515">
        <v>3.2</v>
      </c>
      <c r="T530" s="516">
        <v>43.3</v>
      </c>
      <c r="U530" s="490">
        <v>10</v>
      </c>
      <c r="V530" s="373"/>
      <c r="W530" s="391" t="s">
        <v>511</v>
      </c>
    </row>
    <row r="531" spans="1:23">
      <c r="A531" s="476" t="s">
        <v>1002</v>
      </c>
      <c r="B531" s="542">
        <v>30</v>
      </c>
      <c r="C531" s="543">
        <v>65.5</v>
      </c>
      <c r="D531" s="543">
        <v>8.74</v>
      </c>
      <c r="E531" s="544">
        <v>14.37</v>
      </c>
      <c r="F531" s="512"/>
      <c r="G531" s="480"/>
      <c r="H531" s="481">
        <v>7.341021750113673</v>
      </c>
      <c r="I531" s="482">
        <v>2400</v>
      </c>
      <c r="J531" s="483"/>
      <c r="K531" s="480"/>
      <c r="L531" s="481"/>
      <c r="M531" s="482"/>
      <c r="N531" s="483"/>
      <c r="O531" s="513"/>
      <c r="P531" s="514">
        <v>3027</v>
      </c>
      <c r="Q531" s="486">
        <v>0.51500000000000001</v>
      </c>
      <c r="R531" s="485">
        <v>0.49</v>
      </c>
      <c r="S531" s="515">
        <v>2.5</v>
      </c>
      <c r="T531" s="516">
        <v>38.200000000000003</v>
      </c>
      <c r="U531" s="490">
        <v>10</v>
      </c>
      <c r="V531" s="373"/>
      <c r="W531" s="391" t="s">
        <v>511</v>
      </c>
    </row>
    <row r="532" spans="1:23">
      <c r="A532" s="476" t="s">
        <v>1003</v>
      </c>
      <c r="B532" s="542">
        <v>30</v>
      </c>
      <c r="C532" s="543">
        <v>65.5</v>
      </c>
      <c r="D532" s="543">
        <v>8.74</v>
      </c>
      <c r="E532" s="544">
        <v>14.37</v>
      </c>
      <c r="F532" s="512"/>
      <c r="G532" s="480"/>
      <c r="H532" s="481"/>
      <c r="I532" s="482"/>
      <c r="J532" s="483">
        <v>4.3692536263907114</v>
      </c>
      <c r="K532" s="480">
        <v>5300</v>
      </c>
      <c r="L532" s="481"/>
      <c r="M532" s="482"/>
      <c r="N532" s="483"/>
      <c r="O532" s="513"/>
      <c r="P532" s="514">
        <v>6316</v>
      </c>
      <c r="Q532" s="486">
        <v>0.51500000000000001</v>
      </c>
      <c r="R532" s="485">
        <v>0.49</v>
      </c>
      <c r="S532" s="515">
        <v>2.5</v>
      </c>
      <c r="T532" s="516">
        <v>38.200000000000003</v>
      </c>
      <c r="U532" s="490">
        <v>10</v>
      </c>
      <c r="V532" s="373"/>
      <c r="W532" s="391" t="s">
        <v>511</v>
      </c>
    </row>
    <row r="533" spans="1:23">
      <c r="A533" s="476" t="s">
        <v>1004</v>
      </c>
      <c r="B533" s="542">
        <v>42.2</v>
      </c>
      <c r="C533" s="543">
        <v>23.9</v>
      </c>
      <c r="D533" s="543">
        <v>11.86</v>
      </c>
      <c r="E533" s="544">
        <v>5.3</v>
      </c>
      <c r="F533" s="512"/>
      <c r="G533" s="480"/>
      <c r="H533" s="481">
        <v>11.285532328334398</v>
      </c>
      <c r="I533" s="482">
        <v>550</v>
      </c>
      <c r="J533" s="483"/>
      <c r="K533" s="480"/>
      <c r="L533" s="481"/>
      <c r="M533" s="482"/>
      <c r="N533" s="483"/>
      <c r="O533" s="513"/>
      <c r="P533" s="514">
        <v>827</v>
      </c>
      <c r="Q533" s="486">
        <v>0.76600000000000001</v>
      </c>
      <c r="R533" s="485">
        <v>3.97</v>
      </c>
      <c r="S533" s="515">
        <v>21</v>
      </c>
      <c r="T533" s="516">
        <v>139</v>
      </c>
      <c r="U533" s="490">
        <v>10</v>
      </c>
      <c r="V533" s="373"/>
      <c r="W533" s="391" t="s">
        <v>511</v>
      </c>
    </row>
    <row r="534" spans="1:23">
      <c r="A534" s="476" t="s">
        <v>1005</v>
      </c>
      <c r="B534" s="542">
        <v>42.2</v>
      </c>
      <c r="C534" s="543">
        <v>23.9</v>
      </c>
      <c r="D534" s="543">
        <v>11.86</v>
      </c>
      <c r="E534" s="544">
        <v>5.3</v>
      </c>
      <c r="F534" s="512"/>
      <c r="G534" s="480"/>
      <c r="H534" s="481"/>
      <c r="I534" s="482"/>
      <c r="J534" s="483">
        <v>11.018419137131216</v>
      </c>
      <c r="K534" s="480">
        <v>1300</v>
      </c>
      <c r="L534" s="481"/>
      <c r="M534" s="482"/>
      <c r="N534" s="483"/>
      <c r="O534" s="513"/>
      <c r="P534" s="514">
        <v>1735</v>
      </c>
      <c r="Q534" s="486">
        <v>0.76600000000000001</v>
      </c>
      <c r="R534" s="485">
        <v>3.97</v>
      </c>
      <c r="S534" s="515">
        <v>21</v>
      </c>
      <c r="T534" s="516">
        <v>139</v>
      </c>
      <c r="U534" s="490">
        <v>10</v>
      </c>
      <c r="V534" s="373"/>
      <c r="W534" s="391" t="s">
        <v>511</v>
      </c>
    </row>
    <row r="535" spans="1:23">
      <c r="A535" s="476" t="s">
        <v>1006</v>
      </c>
      <c r="B535" s="542">
        <v>42.2</v>
      </c>
      <c r="C535" s="543">
        <v>23.9</v>
      </c>
      <c r="D535" s="543">
        <v>11.86</v>
      </c>
      <c r="E535" s="544">
        <v>5.3</v>
      </c>
      <c r="F535" s="512"/>
      <c r="G535" s="480"/>
      <c r="H535" s="481"/>
      <c r="I535" s="482"/>
      <c r="J535" s="483"/>
      <c r="K535" s="480"/>
      <c r="L535" s="481">
        <v>9.9869726790164322</v>
      </c>
      <c r="M535" s="482">
        <v>2400</v>
      </c>
      <c r="N535" s="483"/>
      <c r="O535" s="513"/>
      <c r="P535" s="514">
        <v>2899</v>
      </c>
      <c r="Q535" s="486">
        <v>0.76600000000000001</v>
      </c>
      <c r="R535" s="485">
        <v>3.97</v>
      </c>
      <c r="S535" s="515">
        <v>21</v>
      </c>
      <c r="T535" s="516">
        <v>139</v>
      </c>
      <c r="U535" s="490">
        <v>10</v>
      </c>
      <c r="V535" s="373"/>
      <c r="W535" s="391" t="s">
        <v>511</v>
      </c>
    </row>
    <row r="536" spans="1:23">
      <c r="A536" s="476" t="s">
        <v>1007</v>
      </c>
      <c r="B536" s="542">
        <v>42.2</v>
      </c>
      <c r="C536" s="543">
        <v>23.9</v>
      </c>
      <c r="D536" s="543">
        <v>11.86</v>
      </c>
      <c r="E536" s="544">
        <v>5.3</v>
      </c>
      <c r="F536" s="512"/>
      <c r="G536" s="480"/>
      <c r="H536" s="481"/>
      <c r="I536" s="482"/>
      <c r="J536" s="483"/>
      <c r="K536" s="480"/>
      <c r="L536" s="481"/>
      <c r="M536" s="482"/>
      <c r="N536" s="483">
        <v>9.3846535409358971</v>
      </c>
      <c r="O536" s="513">
        <v>2900</v>
      </c>
      <c r="P536" s="514">
        <v>3479</v>
      </c>
      <c r="Q536" s="486">
        <v>0.76600000000000001</v>
      </c>
      <c r="R536" s="485">
        <v>3.97</v>
      </c>
      <c r="S536" s="515">
        <v>21</v>
      </c>
      <c r="T536" s="516">
        <v>139</v>
      </c>
      <c r="U536" s="490">
        <v>10</v>
      </c>
      <c r="V536" s="373"/>
      <c r="W536" s="391" t="s">
        <v>511</v>
      </c>
    </row>
    <row r="537" spans="1:23">
      <c r="A537" s="476" t="s">
        <v>1008</v>
      </c>
      <c r="B537" s="542">
        <v>42.3</v>
      </c>
      <c r="C537" s="543">
        <v>33</v>
      </c>
      <c r="D537" s="543">
        <v>11.84</v>
      </c>
      <c r="E537" s="544">
        <v>7.27</v>
      </c>
      <c r="F537" s="512"/>
      <c r="G537" s="480"/>
      <c r="H537" s="481">
        <v>10.742958658702936</v>
      </c>
      <c r="I537" s="482">
        <v>800</v>
      </c>
      <c r="J537" s="483"/>
      <c r="K537" s="480"/>
      <c r="L537" s="481"/>
      <c r="M537" s="482"/>
      <c r="N537" s="483"/>
      <c r="O537" s="513"/>
      <c r="P537" s="514">
        <v>1144</v>
      </c>
      <c r="Q537" s="486">
        <v>0.76600000000000001</v>
      </c>
      <c r="R537" s="485">
        <v>2.1</v>
      </c>
      <c r="S537" s="515">
        <v>11.4</v>
      </c>
      <c r="T537" s="516">
        <v>100</v>
      </c>
      <c r="U537" s="490">
        <v>10</v>
      </c>
      <c r="V537" s="373"/>
      <c r="W537" s="391" t="s">
        <v>511</v>
      </c>
    </row>
    <row r="538" spans="1:23">
      <c r="A538" s="476" t="s">
        <v>1009</v>
      </c>
      <c r="B538" s="542">
        <v>42.3</v>
      </c>
      <c r="C538" s="543">
        <v>33</v>
      </c>
      <c r="D538" s="543">
        <v>11.84</v>
      </c>
      <c r="E538" s="544">
        <v>7.27</v>
      </c>
      <c r="F538" s="512"/>
      <c r="G538" s="480"/>
      <c r="H538" s="481"/>
      <c r="I538" s="482"/>
      <c r="J538" s="483">
        <v>10.02022080068974</v>
      </c>
      <c r="K538" s="480">
        <v>1825</v>
      </c>
      <c r="L538" s="481"/>
      <c r="M538" s="482"/>
      <c r="N538" s="483"/>
      <c r="O538" s="513"/>
      <c r="P538" s="514">
        <v>2399</v>
      </c>
      <c r="Q538" s="486">
        <v>0.76600000000000001</v>
      </c>
      <c r="R538" s="485">
        <v>2.1</v>
      </c>
      <c r="S538" s="515">
        <v>11.4</v>
      </c>
      <c r="T538" s="516">
        <v>100</v>
      </c>
      <c r="U538" s="490">
        <v>10</v>
      </c>
      <c r="V538" s="373"/>
      <c r="W538" s="391" t="s">
        <v>511</v>
      </c>
    </row>
    <row r="539" spans="1:23">
      <c r="A539" s="476" t="s">
        <v>1010</v>
      </c>
      <c r="B539" s="542">
        <v>42.3</v>
      </c>
      <c r="C539" s="543">
        <v>33</v>
      </c>
      <c r="D539" s="543">
        <v>11.84</v>
      </c>
      <c r="E539" s="544">
        <v>7.27</v>
      </c>
      <c r="F539" s="512"/>
      <c r="G539" s="480"/>
      <c r="H539" s="481"/>
      <c r="I539" s="482"/>
      <c r="J539" s="483"/>
      <c r="K539" s="480"/>
      <c r="L539" s="481">
        <v>5.2661562052465376</v>
      </c>
      <c r="M539" s="482">
        <v>3400</v>
      </c>
      <c r="N539" s="483"/>
      <c r="O539" s="513"/>
      <c r="P539" s="514">
        <v>4000</v>
      </c>
      <c r="Q539" s="486">
        <v>0.76600000000000001</v>
      </c>
      <c r="R539" s="485">
        <v>2.1</v>
      </c>
      <c r="S539" s="515">
        <v>11.4</v>
      </c>
      <c r="T539" s="516">
        <v>100</v>
      </c>
      <c r="U539" s="490">
        <v>10</v>
      </c>
      <c r="V539" s="373"/>
      <c r="W539" s="391" t="s">
        <v>511</v>
      </c>
    </row>
    <row r="540" spans="1:23">
      <c r="A540" s="476" t="s">
        <v>1011</v>
      </c>
      <c r="B540" s="542">
        <v>42.3</v>
      </c>
      <c r="C540" s="543">
        <v>33</v>
      </c>
      <c r="D540" s="543">
        <v>11.84</v>
      </c>
      <c r="E540" s="544">
        <v>7.27</v>
      </c>
      <c r="F540" s="512"/>
      <c r="G540" s="480"/>
      <c r="H540" s="481"/>
      <c r="I540" s="482"/>
      <c r="J540" s="483"/>
      <c r="K540" s="480"/>
      <c r="L540" s="481"/>
      <c r="M540" s="482"/>
      <c r="N540" s="483">
        <v>6.6499920800324466</v>
      </c>
      <c r="O540" s="513">
        <v>4150</v>
      </c>
      <c r="P540" s="514">
        <v>4800</v>
      </c>
      <c r="Q540" s="486">
        <v>0.76600000000000001</v>
      </c>
      <c r="R540" s="485">
        <v>2.1</v>
      </c>
      <c r="S540" s="515">
        <v>11.4</v>
      </c>
      <c r="T540" s="516">
        <v>100</v>
      </c>
      <c r="U540" s="490">
        <v>10</v>
      </c>
      <c r="V540" s="373"/>
      <c r="W540" s="391" t="s">
        <v>511</v>
      </c>
    </row>
    <row r="541" spans="1:23">
      <c r="A541" s="476" t="s">
        <v>1012</v>
      </c>
      <c r="B541" s="542">
        <v>42.4</v>
      </c>
      <c r="C541" s="543">
        <v>37</v>
      </c>
      <c r="D541" s="543">
        <v>11.9</v>
      </c>
      <c r="E541" s="544">
        <v>8.1999999999999993</v>
      </c>
      <c r="F541" s="512"/>
      <c r="G541" s="480"/>
      <c r="H541" s="481">
        <v>10.769484482551585</v>
      </c>
      <c r="I541" s="482">
        <v>900</v>
      </c>
      <c r="J541" s="483"/>
      <c r="K541" s="480"/>
      <c r="L541" s="481"/>
      <c r="M541" s="482"/>
      <c r="N541" s="483"/>
      <c r="O541" s="513"/>
      <c r="P541" s="514">
        <v>1276</v>
      </c>
      <c r="Q541" s="486">
        <v>0.76600000000000001</v>
      </c>
      <c r="R541" s="485">
        <v>1.66</v>
      </c>
      <c r="S541" s="515">
        <v>9.1</v>
      </c>
      <c r="T541" s="516">
        <v>90</v>
      </c>
      <c r="U541" s="490">
        <v>10</v>
      </c>
      <c r="V541" s="373"/>
      <c r="W541" s="391" t="s">
        <v>511</v>
      </c>
    </row>
    <row r="542" spans="1:23">
      <c r="A542" s="476" t="s">
        <v>1013</v>
      </c>
      <c r="B542" s="542">
        <v>42.4</v>
      </c>
      <c r="C542" s="543">
        <v>37</v>
      </c>
      <c r="D542" s="543">
        <v>11.9</v>
      </c>
      <c r="E542" s="544">
        <v>8.1999999999999993</v>
      </c>
      <c r="F542" s="512"/>
      <c r="G542" s="480"/>
      <c r="H542" s="481"/>
      <c r="I542" s="482"/>
      <c r="J542" s="483">
        <v>9.8753701274580923</v>
      </c>
      <c r="K542" s="480">
        <v>2050</v>
      </c>
      <c r="L542" s="481"/>
      <c r="M542" s="482"/>
      <c r="N542" s="483"/>
      <c r="O542" s="513"/>
      <c r="P542" s="514">
        <v>2676</v>
      </c>
      <c r="Q542" s="486">
        <v>0.76600000000000001</v>
      </c>
      <c r="R542" s="485">
        <v>1.66</v>
      </c>
      <c r="S542" s="515">
        <v>9.1</v>
      </c>
      <c r="T542" s="516">
        <v>90</v>
      </c>
      <c r="U542" s="490">
        <v>10</v>
      </c>
      <c r="V542" s="373"/>
      <c r="W542" s="391" t="s">
        <v>511</v>
      </c>
    </row>
    <row r="543" spans="1:23">
      <c r="A543" s="476" t="s">
        <v>1014</v>
      </c>
      <c r="B543" s="542">
        <v>42.4</v>
      </c>
      <c r="C543" s="543">
        <v>37</v>
      </c>
      <c r="D543" s="543">
        <v>11.9</v>
      </c>
      <c r="E543" s="544">
        <v>8.1999999999999993</v>
      </c>
      <c r="F543" s="512"/>
      <c r="G543" s="480"/>
      <c r="H543" s="481"/>
      <c r="I543" s="482"/>
      <c r="J543" s="483"/>
      <c r="K543" s="480"/>
      <c r="L543" s="481">
        <v>7.4635291734146705</v>
      </c>
      <c r="M543" s="482">
        <v>3800</v>
      </c>
      <c r="N543" s="483"/>
      <c r="O543" s="513"/>
      <c r="P543" s="514">
        <v>4459</v>
      </c>
      <c r="Q543" s="486">
        <v>0.76600000000000001</v>
      </c>
      <c r="R543" s="485">
        <v>1.66</v>
      </c>
      <c r="S543" s="515">
        <v>9.1</v>
      </c>
      <c r="T543" s="516">
        <v>90</v>
      </c>
      <c r="U543" s="490">
        <v>10</v>
      </c>
      <c r="V543" s="373"/>
      <c r="W543" s="391" t="s">
        <v>511</v>
      </c>
    </row>
    <row r="544" spans="1:23">
      <c r="A544" s="476" t="s">
        <v>1015</v>
      </c>
      <c r="B544" s="542">
        <v>42.4</v>
      </c>
      <c r="C544" s="543">
        <v>37</v>
      </c>
      <c r="D544" s="543">
        <v>11.9</v>
      </c>
      <c r="E544" s="544">
        <v>8.1999999999999993</v>
      </c>
      <c r="F544" s="512"/>
      <c r="G544" s="480"/>
      <c r="H544" s="481"/>
      <c r="I544" s="482"/>
      <c r="J544" s="483"/>
      <c r="K544" s="480"/>
      <c r="L544" s="481"/>
      <c r="M544" s="482"/>
      <c r="N544" s="483">
        <v>5.2243241637149138</v>
      </c>
      <c r="O544" s="513">
        <v>4725</v>
      </c>
      <c r="P544" s="514">
        <v>5351</v>
      </c>
      <c r="Q544" s="486">
        <v>0.76600000000000001</v>
      </c>
      <c r="R544" s="485">
        <v>1.66</v>
      </c>
      <c r="S544" s="515">
        <v>9.1</v>
      </c>
      <c r="T544" s="516">
        <v>90</v>
      </c>
      <c r="U544" s="490">
        <v>10</v>
      </c>
      <c r="V544" s="373"/>
      <c r="W544" s="391" t="s">
        <v>511</v>
      </c>
    </row>
    <row r="545" spans="1:23">
      <c r="A545" s="476" t="s">
        <v>1016</v>
      </c>
      <c r="B545" s="542">
        <v>42.6</v>
      </c>
      <c r="C545" s="543">
        <v>47</v>
      </c>
      <c r="D545" s="543">
        <v>11.9</v>
      </c>
      <c r="E545" s="544">
        <v>10.24</v>
      </c>
      <c r="F545" s="512"/>
      <c r="G545" s="480"/>
      <c r="H545" s="481">
        <v>10.663381187156988</v>
      </c>
      <c r="I545" s="482">
        <v>1200</v>
      </c>
      <c r="J545" s="483"/>
      <c r="K545" s="480"/>
      <c r="L545" s="481"/>
      <c r="M545" s="482"/>
      <c r="N545" s="483"/>
      <c r="O545" s="513"/>
      <c r="P545" s="514">
        <v>1595</v>
      </c>
      <c r="Q545" s="486">
        <v>0.76600000000000001</v>
      </c>
      <c r="R545" s="485">
        <v>1.06</v>
      </c>
      <c r="S545" s="515">
        <v>5.7</v>
      </c>
      <c r="T545" s="516">
        <v>72.099999999999994</v>
      </c>
      <c r="U545" s="490">
        <v>10</v>
      </c>
      <c r="V545" s="373"/>
      <c r="W545" s="391" t="s">
        <v>511</v>
      </c>
    </row>
    <row r="546" spans="1:23">
      <c r="A546" s="476" t="s">
        <v>1017</v>
      </c>
      <c r="B546" s="542">
        <v>42.6</v>
      </c>
      <c r="C546" s="543">
        <v>47</v>
      </c>
      <c r="D546" s="543">
        <v>11.9</v>
      </c>
      <c r="E546" s="544">
        <v>10.24</v>
      </c>
      <c r="F546" s="512"/>
      <c r="G546" s="480"/>
      <c r="H546" s="481"/>
      <c r="I546" s="482"/>
      <c r="J546" s="483">
        <v>9.1956189341983965</v>
      </c>
      <c r="K546" s="480">
        <v>2700</v>
      </c>
      <c r="L546" s="481"/>
      <c r="M546" s="482"/>
      <c r="N546" s="483"/>
      <c r="O546" s="513"/>
      <c r="P546" s="514">
        <v>3338</v>
      </c>
      <c r="Q546" s="486">
        <v>0.76600000000000001</v>
      </c>
      <c r="R546" s="485">
        <v>1.06</v>
      </c>
      <c r="S546" s="515">
        <v>5.7</v>
      </c>
      <c r="T546" s="516">
        <v>72.099999999999994</v>
      </c>
      <c r="U546" s="490">
        <v>10</v>
      </c>
      <c r="V546" s="373"/>
      <c r="W546" s="391" t="s">
        <v>511</v>
      </c>
    </row>
    <row r="547" spans="1:23">
      <c r="A547" s="476" t="s">
        <v>1018</v>
      </c>
      <c r="B547" s="542">
        <v>42.6</v>
      </c>
      <c r="C547" s="543">
        <v>47</v>
      </c>
      <c r="D547" s="543">
        <v>11.9</v>
      </c>
      <c r="E547" s="544">
        <v>10.199999999999999</v>
      </c>
      <c r="F547" s="512"/>
      <c r="G547" s="480"/>
      <c r="H547" s="481"/>
      <c r="I547" s="482"/>
      <c r="J547" s="483"/>
      <c r="K547" s="480"/>
      <c r="L547" s="481">
        <v>5.0010749128257421</v>
      </c>
      <c r="M547" s="482">
        <v>4850</v>
      </c>
      <c r="N547" s="483"/>
      <c r="O547" s="513"/>
      <c r="P547" s="514">
        <v>5560</v>
      </c>
      <c r="Q547" s="486">
        <v>0.76600000000000001</v>
      </c>
      <c r="R547" s="485">
        <v>1.06</v>
      </c>
      <c r="S547" s="515">
        <v>5.7</v>
      </c>
      <c r="T547" s="516">
        <v>72.099999999999994</v>
      </c>
      <c r="U547" s="490">
        <v>10</v>
      </c>
      <c r="V547" s="373"/>
      <c r="W547" s="391" t="s">
        <v>511</v>
      </c>
    </row>
    <row r="548" spans="1:23">
      <c r="A548" s="476" t="s">
        <v>1019</v>
      </c>
      <c r="B548" s="542">
        <v>42.6</v>
      </c>
      <c r="C548" s="543">
        <v>59</v>
      </c>
      <c r="D548" s="543">
        <v>11.8</v>
      </c>
      <c r="E548" s="544">
        <v>12.7</v>
      </c>
      <c r="F548" s="512"/>
      <c r="G548" s="480"/>
      <c r="H548" s="481">
        <v>10.269407475568853</v>
      </c>
      <c r="I548" s="482">
        <v>1525</v>
      </c>
      <c r="J548" s="483"/>
      <c r="K548" s="480"/>
      <c r="L548" s="481"/>
      <c r="M548" s="482"/>
      <c r="N548" s="483"/>
      <c r="O548" s="513"/>
      <c r="P548" s="514">
        <v>2006</v>
      </c>
      <c r="Q548" s="486">
        <v>0.76600000000000001</v>
      </c>
      <c r="R548" s="485">
        <v>0.69</v>
      </c>
      <c r="S548" s="515">
        <v>3.6</v>
      </c>
      <c r="T548" s="516">
        <v>57.4</v>
      </c>
      <c r="U548" s="490">
        <v>10</v>
      </c>
      <c r="V548" s="373"/>
      <c r="W548" s="391" t="s">
        <v>511</v>
      </c>
    </row>
    <row r="549" spans="1:23">
      <c r="A549" s="476" t="s">
        <v>1020</v>
      </c>
      <c r="B549" s="542">
        <v>42.6</v>
      </c>
      <c r="C549" s="543">
        <v>59</v>
      </c>
      <c r="D549" s="543">
        <v>11.8</v>
      </c>
      <c r="E549" s="544">
        <v>12.7</v>
      </c>
      <c r="F549" s="512"/>
      <c r="G549" s="480"/>
      <c r="H549" s="481"/>
      <c r="I549" s="482"/>
      <c r="J549" s="483">
        <v>8.0747728480446916</v>
      </c>
      <c r="K549" s="480">
        <v>3400</v>
      </c>
      <c r="L549" s="481"/>
      <c r="M549" s="482"/>
      <c r="N549" s="483"/>
      <c r="O549" s="513"/>
      <c r="P549" s="514">
        <v>4193</v>
      </c>
      <c r="Q549" s="486">
        <v>0.76600000000000001</v>
      </c>
      <c r="R549" s="485">
        <v>0.69</v>
      </c>
      <c r="S549" s="515">
        <v>3.6</v>
      </c>
      <c r="T549" s="516">
        <v>57.4</v>
      </c>
      <c r="U549" s="490">
        <v>10</v>
      </c>
      <c r="V549" s="373"/>
      <c r="W549" s="391" t="s">
        <v>511</v>
      </c>
    </row>
    <row r="550" spans="1:23">
      <c r="A550" s="476" t="s">
        <v>1021</v>
      </c>
      <c r="B550" s="542">
        <v>42</v>
      </c>
      <c r="C550" s="543">
        <v>67</v>
      </c>
      <c r="D550" s="543">
        <v>11.75</v>
      </c>
      <c r="E550" s="544">
        <v>14.79</v>
      </c>
      <c r="F550" s="512"/>
      <c r="G550" s="480"/>
      <c r="H550" s="481">
        <v>9.936430230872384</v>
      </c>
      <c r="I550" s="482">
        <v>1850</v>
      </c>
      <c r="J550" s="483"/>
      <c r="K550" s="480"/>
      <c r="L550" s="481"/>
      <c r="M550" s="482"/>
      <c r="N550" s="483"/>
      <c r="O550" s="513"/>
      <c r="P550" s="514">
        <v>2347</v>
      </c>
      <c r="Q550" s="486">
        <v>0.76600000000000001</v>
      </c>
      <c r="R550" s="485">
        <v>0.51</v>
      </c>
      <c r="S550" s="515">
        <v>2.7</v>
      </c>
      <c r="T550" s="516">
        <v>49.4</v>
      </c>
      <c r="U550" s="490">
        <v>10</v>
      </c>
      <c r="V550" s="373"/>
      <c r="W550" s="391" t="s">
        <v>511</v>
      </c>
    </row>
    <row r="551" spans="1:23">
      <c r="A551" s="476" t="s">
        <v>1022</v>
      </c>
      <c r="B551" s="542">
        <v>42</v>
      </c>
      <c r="C551" s="543">
        <v>67</v>
      </c>
      <c r="D551" s="543">
        <v>11.75</v>
      </c>
      <c r="E551" s="544">
        <v>14.79</v>
      </c>
      <c r="F551" s="512"/>
      <c r="G551" s="480"/>
      <c r="H551" s="481"/>
      <c r="I551" s="482"/>
      <c r="J551" s="483">
        <v>6.7427350280639562</v>
      </c>
      <c r="K551" s="480">
        <v>4100</v>
      </c>
      <c r="L551" s="481"/>
      <c r="M551" s="482"/>
      <c r="N551" s="483"/>
      <c r="O551" s="513"/>
      <c r="P551" s="514">
        <v>4902</v>
      </c>
      <c r="Q551" s="486">
        <v>0.76600000000000001</v>
      </c>
      <c r="R551" s="485">
        <v>0.51</v>
      </c>
      <c r="S551" s="515">
        <v>2.7</v>
      </c>
      <c r="T551" s="516">
        <v>49.4</v>
      </c>
      <c r="U551" s="490">
        <v>10</v>
      </c>
      <c r="V551" s="373"/>
      <c r="W551" s="391" t="s">
        <v>511</v>
      </c>
    </row>
    <row r="552" spans="1:23">
      <c r="A552" s="476" t="s">
        <v>1023</v>
      </c>
      <c r="B552" s="542">
        <v>42</v>
      </c>
      <c r="C552" s="543">
        <v>96</v>
      </c>
      <c r="D552" s="543">
        <v>11.2</v>
      </c>
      <c r="E552" s="544">
        <v>20</v>
      </c>
      <c r="F552" s="512"/>
      <c r="G552" s="480"/>
      <c r="H552" s="481">
        <v>8.5422798546777301</v>
      </c>
      <c r="I552" s="482">
        <v>2750</v>
      </c>
      <c r="J552" s="483"/>
      <c r="K552" s="480"/>
      <c r="L552" s="481"/>
      <c r="M552" s="482"/>
      <c r="N552" s="483"/>
      <c r="O552" s="513"/>
      <c r="P552" s="514">
        <v>3324</v>
      </c>
      <c r="Q552" s="486">
        <v>0.76600000000000001</v>
      </c>
      <c r="R552" s="485">
        <v>0.28000000000000003</v>
      </c>
      <c r="S552" s="515">
        <v>1.3</v>
      </c>
      <c r="T552" s="516">
        <v>34.6</v>
      </c>
      <c r="U552" s="490">
        <v>10</v>
      </c>
      <c r="V552" s="373"/>
      <c r="W552" s="391" t="s">
        <v>511</v>
      </c>
    </row>
    <row r="553" spans="1:23">
      <c r="A553" s="476" t="s">
        <v>1024</v>
      </c>
      <c r="B553" s="542">
        <v>42</v>
      </c>
      <c r="C553" s="543">
        <v>96</v>
      </c>
      <c r="D553" s="543">
        <v>11.2</v>
      </c>
      <c r="E553" s="544">
        <v>20</v>
      </c>
      <c r="F553" s="512"/>
      <c r="G553" s="480"/>
      <c r="H553" s="481"/>
      <c r="I553" s="482"/>
      <c r="J553" s="483">
        <v>3.5388569699256727</v>
      </c>
      <c r="K553" s="480">
        <v>5100</v>
      </c>
      <c r="L553" s="481"/>
      <c r="M553" s="482"/>
      <c r="N553" s="483"/>
      <c r="O553" s="513"/>
      <c r="P553" s="514">
        <v>6937</v>
      </c>
      <c r="Q553" s="486">
        <v>0.76600000000000001</v>
      </c>
      <c r="R553" s="485">
        <v>0.28000000000000003</v>
      </c>
      <c r="S553" s="515">
        <v>1.3</v>
      </c>
      <c r="T553" s="516">
        <v>34.6</v>
      </c>
      <c r="U553" s="490">
        <v>10</v>
      </c>
      <c r="V553" s="373"/>
      <c r="W553" s="391" t="s">
        <v>511</v>
      </c>
    </row>
    <row r="554" spans="1:23">
      <c r="A554" s="476" t="s">
        <v>1025</v>
      </c>
      <c r="B554" s="542">
        <v>42.6</v>
      </c>
      <c r="C554" s="543">
        <v>105</v>
      </c>
      <c r="D554" s="543">
        <v>11</v>
      </c>
      <c r="E554" s="544">
        <v>21.1</v>
      </c>
      <c r="F554" s="512"/>
      <c r="G554" s="480"/>
      <c r="H554" s="481">
        <v>7.9793274858614645</v>
      </c>
      <c r="I554" s="482">
        <v>2950</v>
      </c>
      <c r="J554" s="483"/>
      <c r="K554" s="480"/>
      <c r="L554" s="481"/>
      <c r="M554" s="482"/>
      <c r="N554" s="483"/>
      <c r="O554" s="513"/>
      <c r="P554" s="514">
        <v>3642</v>
      </c>
      <c r="Q554" s="486">
        <v>0.76600000000000001</v>
      </c>
      <c r="R554" s="485">
        <v>0.25</v>
      </c>
      <c r="S554" s="515">
        <v>1.1000000000000001</v>
      </c>
      <c r="T554" s="516">
        <v>31.8</v>
      </c>
      <c r="U554" s="490">
        <v>10</v>
      </c>
      <c r="V554" s="373"/>
      <c r="W554" s="391" t="s">
        <v>511</v>
      </c>
    </row>
    <row r="555" spans="1:23">
      <c r="A555" s="476" t="s">
        <v>1026</v>
      </c>
      <c r="B555" s="542">
        <v>42.6</v>
      </c>
      <c r="C555" s="543">
        <v>105</v>
      </c>
      <c r="D555" s="543">
        <v>11</v>
      </c>
      <c r="E555" s="544">
        <v>21.1</v>
      </c>
      <c r="F555" s="512"/>
      <c r="G555" s="480"/>
      <c r="H555" s="481"/>
      <c r="I555" s="482"/>
      <c r="J555" s="483">
        <v>3.0300652627110845</v>
      </c>
      <c r="K555" s="480">
        <v>5200</v>
      </c>
      <c r="L555" s="481"/>
      <c r="M555" s="482"/>
      <c r="N555" s="483"/>
      <c r="O555" s="513"/>
      <c r="P555" s="514">
        <v>7600</v>
      </c>
      <c r="Q555" s="486">
        <v>0.76600000000000001</v>
      </c>
      <c r="R555" s="485">
        <v>0.25</v>
      </c>
      <c r="S555" s="515">
        <v>1.1000000000000001</v>
      </c>
      <c r="T555" s="516">
        <v>31.8</v>
      </c>
      <c r="U555" s="490">
        <v>10</v>
      </c>
      <c r="V555" s="373"/>
      <c r="W555" s="391" t="s">
        <v>511</v>
      </c>
    </row>
    <row r="556" spans="1:23">
      <c r="A556" s="476" t="s">
        <v>1027</v>
      </c>
      <c r="B556" s="542">
        <v>54.4</v>
      </c>
      <c r="C556" s="543">
        <v>25</v>
      </c>
      <c r="D556" s="543">
        <v>14.82</v>
      </c>
      <c r="E556" s="544">
        <v>5.5</v>
      </c>
      <c r="F556" s="512"/>
      <c r="G556" s="480"/>
      <c r="H556" s="481">
        <v>13.687325105903</v>
      </c>
      <c r="I556" s="482">
        <v>450</v>
      </c>
      <c r="J556" s="483"/>
      <c r="K556" s="480"/>
      <c r="L556" s="481"/>
      <c r="M556" s="482"/>
      <c r="N556" s="483"/>
      <c r="O556" s="513"/>
      <c r="P556" s="514">
        <v>685</v>
      </c>
      <c r="Q556" s="486">
        <v>1.02</v>
      </c>
      <c r="R556" s="485">
        <v>4.08</v>
      </c>
      <c r="S556" s="515">
        <v>23</v>
      </c>
      <c r="T556" s="516">
        <v>167</v>
      </c>
      <c r="U556" s="490">
        <v>10</v>
      </c>
      <c r="V556" s="373"/>
      <c r="W556" s="391" t="s">
        <v>511</v>
      </c>
    </row>
    <row r="557" spans="1:23">
      <c r="A557" s="476" t="s">
        <v>1028</v>
      </c>
      <c r="B557" s="542">
        <v>54.4</v>
      </c>
      <c r="C557" s="543">
        <v>25</v>
      </c>
      <c r="D557" s="543">
        <v>14.82</v>
      </c>
      <c r="E557" s="544">
        <v>5.5</v>
      </c>
      <c r="F557" s="512"/>
      <c r="G557" s="480"/>
      <c r="H557" s="481"/>
      <c r="I557" s="482"/>
      <c r="J557" s="483">
        <v>13.187123856185615</v>
      </c>
      <c r="K557" s="480">
        <v>1050</v>
      </c>
      <c r="L557" s="481"/>
      <c r="M557" s="482"/>
      <c r="N557" s="483"/>
      <c r="O557" s="513"/>
      <c r="P557" s="514">
        <v>1437</v>
      </c>
      <c r="Q557" s="486">
        <v>1.02</v>
      </c>
      <c r="R557" s="485">
        <v>4.08</v>
      </c>
      <c r="S557" s="515">
        <v>23</v>
      </c>
      <c r="T557" s="516">
        <v>167</v>
      </c>
      <c r="U557" s="490">
        <v>10</v>
      </c>
      <c r="V557" s="373"/>
      <c r="W557" s="391" t="s">
        <v>511</v>
      </c>
    </row>
    <row r="558" spans="1:23">
      <c r="A558" s="476" t="s">
        <v>1029</v>
      </c>
      <c r="B558" s="542">
        <v>54.4</v>
      </c>
      <c r="C558" s="543">
        <v>25</v>
      </c>
      <c r="D558" s="543">
        <v>14.82</v>
      </c>
      <c r="E558" s="544">
        <v>5.5</v>
      </c>
      <c r="F558" s="512"/>
      <c r="G558" s="480"/>
      <c r="H558" s="481"/>
      <c r="I558" s="482"/>
      <c r="J558" s="483"/>
      <c r="K558" s="480"/>
      <c r="L558" s="481">
        <v>12.032113697747288</v>
      </c>
      <c r="M558" s="482">
        <v>2000</v>
      </c>
      <c r="N558" s="483"/>
      <c r="O558" s="513"/>
      <c r="P558" s="514">
        <v>2400</v>
      </c>
      <c r="Q558" s="486">
        <v>1.02</v>
      </c>
      <c r="R558" s="485">
        <v>4.08</v>
      </c>
      <c r="S558" s="515">
        <v>23</v>
      </c>
      <c r="T558" s="516">
        <v>167</v>
      </c>
      <c r="U558" s="490">
        <v>10</v>
      </c>
      <c r="V558" s="373"/>
      <c r="W558" s="391" t="s">
        <v>511</v>
      </c>
    </row>
    <row r="559" spans="1:23">
      <c r="A559" s="476" t="s">
        <v>1030</v>
      </c>
      <c r="B559" s="542">
        <v>54.4</v>
      </c>
      <c r="C559" s="543">
        <v>25</v>
      </c>
      <c r="D559" s="543">
        <v>14.82</v>
      </c>
      <c r="E559" s="544">
        <v>5.5</v>
      </c>
      <c r="F559" s="512"/>
      <c r="G559" s="480"/>
      <c r="H559" s="481"/>
      <c r="I559" s="482"/>
      <c r="J559" s="483"/>
      <c r="K559" s="480"/>
      <c r="L559" s="481"/>
      <c r="M559" s="482"/>
      <c r="N559" s="483">
        <v>11.399472798957003</v>
      </c>
      <c r="O559" s="513">
        <v>2400</v>
      </c>
      <c r="P559" s="514">
        <v>2888</v>
      </c>
      <c r="Q559" s="486">
        <v>1.02</v>
      </c>
      <c r="R559" s="485">
        <v>4.08</v>
      </c>
      <c r="S559" s="515">
        <v>23</v>
      </c>
      <c r="T559" s="516">
        <v>167</v>
      </c>
      <c r="U559" s="490">
        <v>10</v>
      </c>
      <c r="V559" s="373"/>
      <c r="W559" s="391" t="s">
        <v>511</v>
      </c>
    </row>
    <row r="560" spans="1:23">
      <c r="A560" s="476" t="s">
        <v>1031</v>
      </c>
      <c r="B560" s="542">
        <v>53.8</v>
      </c>
      <c r="C560" s="543">
        <v>27.5</v>
      </c>
      <c r="D560" s="543">
        <v>14.9</v>
      </c>
      <c r="E560" s="544">
        <v>6.2</v>
      </c>
      <c r="F560" s="512"/>
      <c r="G560" s="480"/>
      <c r="H560" s="481">
        <v>13.641852265019601</v>
      </c>
      <c r="I560" s="482">
        <v>525</v>
      </c>
      <c r="J560" s="483"/>
      <c r="K560" s="480"/>
      <c r="L560" s="481"/>
      <c r="M560" s="482"/>
      <c r="N560" s="483"/>
      <c r="O560" s="513"/>
      <c r="P560" s="514">
        <v>772</v>
      </c>
      <c r="Q560" s="486">
        <v>1.02</v>
      </c>
      <c r="R560" s="485">
        <v>3.2</v>
      </c>
      <c r="S560" s="515">
        <v>18</v>
      </c>
      <c r="T560" s="516">
        <v>148</v>
      </c>
      <c r="U560" s="490">
        <v>10</v>
      </c>
      <c r="V560" s="373"/>
      <c r="W560" s="391" t="s">
        <v>511</v>
      </c>
    </row>
    <row r="561" spans="1:23">
      <c r="A561" s="476" t="s">
        <v>1032</v>
      </c>
      <c r="B561" s="542">
        <v>53.8</v>
      </c>
      <c r="C561" s="543">
        <v>27.5</v>
      </c>
      <c r="D561" s="543">
        <v>14.9</v>
      </c>
      <c r="E561" s="544">
        <v>6.2</v>
      </c>
      <c r="F561" s="512"/>
      <c r="G561" s="480"/>
      <c r="H561" s="481"/>
      <c r="I561" s="482"/>
      <c r="J561" s="483">
        <v>13.130282805081366</v>
      </c>
      <c r="K561" s="480">
        <v>1200</v>
      </c>
      <c r="L561" s="481"/>
      <c r="M561" s="482"/>
      <c r="N561" s="483"/>
      <c r="O561" s="513"/>
      <c r="P561" s="514">
        <v>1618</v>
      </c>
      <c r="Q561" s="486">
        <v>1.02</v>
      </c>
      <c r="R561" s="485">
        <v>3.2</v>
      </c>
      <c r="S561" s="515">
        <v>18</v>
      </c>
      <c r="T561" s="516">
        <v>148</v>
      </c>
      <c r="U561" s="490">
        <v>10</v>
      </c>
      <c r="V561" s="373"/>
      <c r="W561" s="391" t="s">
        <v>511</v>
      </c>
    </row>
    <row r="562" spans="1:23">
      <c r="A562" s="476" t="s">
        <v>1033</v>
      </c>
      <c r="B562" s="542">
        <v>53.8</v>
      </c>
      <c r="C562" s="543">
        <v>27.5</v>
      </c>
      <c r="D562" s="543">
        <v>14.9</v>
      </c>
      <c r="E562" s="544">
        <v>6.2</v>
      </c>
      <c r="F562" s="512"/>
      <c r="G562" s="480"/>
      <c r="H562" s="481"/>
      <c r="I562" s="482"/>
      <c r="J562" s="483"/>
      <c r="K562" s="480"/>
      <c r="L562" s="481">
        <v>11.735024470642415</v>
      </c>
      <c r="M562" s="482">
        <v>2250</v>
      </c>
      <c r="N562" s="483"/>
      <c r="O562" s="513"/>
      <c r="P562" s="514">
        <v>2704</v>
      </c>
      <c r="Q562" s="486">
        <v>1.02</v>
      </c>
      <c r="R562" s="485">
        <v>3.2</v>
      </c>
      <c r="S562" s="515">
        <v>18</v>
      </c>
      <c r="T562" s="516">
        <v>148</v>
      </c>
      <c r="U562" s="490">
        <v>10</v>
      </c>
      <c r="V562" s="373"/>
      <c r="W562" s="391" t="s">
        <v>511</v>
      </c>
    </row>
    <row r="563" spans="1:23">
      <c r="A563" s="476" t="s">
        <v>1034</v>
      </c>
      <c r="B563" s="542">
        <v>53.8</v>
      </c>
      <c r="C563" s="543">
        <v>27.5</v>
      </c>
      <c r="D563" s="543">
        <v>14.9</v>
      </c>
      <c r="E563" s="544">
        <v>6.2</v>
      </c>
      <c r="F563" s="512"/>
      <c r="G563" s="480"/>
      <c r="H563" s="481"/>
      <c r="I563" s="482"/>
      <c r="J563" s="483"/>
      <c r="K563" s="480"/>
      <c r="L563" s="481"/>
      <c r="M563" s="482"/>
      <c r="N563" s="483">
        <v>10.92863942564348</v>
      </c>
      <c r="O563" s="513">
        <v>2700</v>
      </c>
      <c r="P563" s="514">
        <v>3245</v>
      </c>
      <c r="Q563" s="486">
        <v>1.02</v>
      </c>
      <c r="R563" s="485">
        <v>3.2</v>
      </c>
      <c r="S563" s="515">
        <v>18</v>
      </c>
      <c r="T563" s="516">
        <v>148</v>
      </c>
      <c r="U563" s="490">
        <v>10</v>
      </c>
      <c r="V563" s="373"/>
      <c r="W563" s="391" t="s">
        <v>511</v>
      </c>
    </row>
    <row r="564" spans="1:23">
      <c r="A564" s="476" t="s">
        <v>1035</v>
      </c>
      <c r="B564" s="542">
        <v>54.4</v>
      </c>
      <c r="C564" s="543">
        <v>38.5</v>
      </c>
      <c r="D564" s="543">
        <v>15.1</v>
      </c>
      <c r="E564" s="544">
        <v>8.6300000000000008</v>
      </c>
      <c r="F564" s="512"/>
      <c r="G564" s="480"/>
      <c r="H564" s="481">
        <v>13.687325105903</v>
      </c>
      <c r="I564" s="482">
        <v>750</v>
      </c>
      <c r="J564" s="483"/>
      <c r="K564" s="480"/>
      <c r="L564" s="481"/>
      <c r="M564" s="482"/>
      <c r="N564" s="483"/>
      <c r="O564" s="513"/>
      <c r="P564" s="514">
        <v>1060</v>
      </c>
      <c r="Q564" s="486">
        <v>1.02</v>
      </c>
      <c r="R564" s="485">
        <v>1.66</v>
      </c>
      <c r="S564" s="515">
        <v>9.6</v>
      </c>
      <c r="T564" s="516">
        <v>108</v>
      </c>
      <c r="U564" s="490">
        <v>10</v>
      </c>
      <c r="V564" s="373"/>
      <c r="W564" s="391" t="s">
        <v>511</v>
      </c>
    </row>
    <row r="565" spans="1:23">
      <c r="A565" s="476" t="s">
        <v>1036</v>
      </c>
      <c r="B565" s="542">
        <v>54.4</v>
      </c>
      <c r="C565" s="543">
        <v>38.5</v>
      </c>
      <c r="D565" s="543">
        <v>15.1</v>
      </c>
      <c r="E565" s="544">
        <v>8.6300000000000008</v>
      </c>
      <c r="F565" s="512"/>
      <c r="G565" s="480"/>
      <c r="H565" s="481"/>
      <c r="I565" s="482"/>
      <c r="J565" s="483">
        <v>12.638774892591691</v>
      </c>
      <c r="K565" s="480">
        <v>1700</v>
      </c>
      <c r="L565" s="481"/>
      <c r="M565" s="482"/>
      <c r="N565" s="483"/>
      <c r="O565" s="513"/>
      <c r="P565" s="514">
        <v>2223</v>
      </c>
      <c r="Q565" s="486">
        <v>1.02</v>
      </c>
      <c r="R565" s="485">
        <v>1.66</v>
      </c>
      <c r="S565" s="515">
        <v>9.6</v>
      </c>
      <c r="T565" s="516">
        <v>108</v>
      </c>
      <c r="U565" s="490">
        <v>10</v>
      </c>
      <c r="V565" s="373"/>
      <c r="W565" s="391" t="s">
        <v>511</v>
      </c>
    </row>
    <row r="566" spans="1:23">
      <c r="A566" s="476" t="s">
        <v>1037</v>
      </c>
      <c r="B566" s="542">
        <v>54.4</v>
      </c>
      <c r="C566" s="543">
        <v>38.5</v>
      </c>
      <c r="D566" s="543">
        <v>15.1</v>
      </c>
      <c r="E566" s="544">
        <v>8.6300000000000008</v>
      </c>
      <c r="F566" s="512"/>
      <c r="G566" s="480"/>
      <c r="H566" s="481"/>
      <c r="I566" s="482"/>
      <c r="J566" s="483"/>
      <c r="K566" s="480"/>
      <c r="L566" s="481">
        <v>10.064655448858906</v>
      </c>
      <c r="M566" s="482">
        <v>3150</v>
      </c>
      <c r="N566" s="483"/>
      <c r="O566" s="513"/>
      <c r="P566" s="514">
        <v>3707</v>
      </c>
      <c r="Q566" s="486">
        <v>1.02</v>
      </c>
      <c r="R566" s="485">
        <v>1.66</v>
      </c>
      <c r="S566" s="515">
        <v>9.6</v>
      </c>
      <c r="T566" s="516">
        <v>108</v>
      </c>
      <c r="U566" s="490">
        <v>10</v>
      </c>
      <c r="V566" s="373"/>
      <c r="W566" s="391" t="s">
        <v>511</v>
      </c>
    </row>
    <row r="567" spans="1:23">
      <c r="A567" s="476" t="s">
        <v>1038</v>
      </c>
      <c r="B567" s="542">
        <v>54.4</v>
      </c>
      <c r="C567" s="543">
        <v>38.5</v>
      </c>
      <c r="D567" s="543">
        <v>15.1</v>
      </c>
      <c r="E567" s="544">
        <v>8.6300000000000008</v>
      </c>
      <c r="F567" s="512"/>
      <c r="G567" s="480"/>
      <c r="H567" s="481"/>
      <c r="I567" s="482"/>
      <c r="J567" s="483"/>
      <c r="K567" s="480"/>
      <c r="L567" s="481"/>
      <c r="M567" s="482"/>
      <c r="N567" s="483">
        <v>8.0858978879934362</v>
      </c>
      <c r="O567" s="513">
        <v>3850</v>
      </c>
      <c r="P567" s="514">
        <v>4450</v>
      </c>
      <c r="Q567" s="486">
        <v>1.02</v>
      </c>
      <c r="R567" s="485">
        <v>1.66</v>
      </c>
      <c r="S567" s="515">
        <v>9.6</v>
      </c>
      <c r="T567" s="516">
        <v>108</v>
      </c>
      <c r="U567" s="490">
        <v>10</v>
      </c>
      <c r="V567" s="373"/>
      <c r="W567" s="391" t="s">
        <v>511</v>
      </c>
    </row>
    <row r="568" spans="1:23">
      <c r="A568" s="476" t="s">
        <v>1039</v>
      </c>
      <c r="B568" s="542">
        <v>54.8</v>
      </c>
      <c r="C568" s="543">
        <v>48.5</v>
      </c>
      <c r="D568" s="543">
        <v>15</v>
      </c>
      <c r="E568" s="544">
        <v>10.7</v>
      </c>
      <c r="F568" s="512"/>
      <c r="G568" s="480"/>
      <c r="H568" s="481">
        <v>13.369015219719209</v>
      </c>
      <c r="I568" s="482">
        <v>1000</v>
      </c>
      <c r="J568" s="483"/>
      <c r="K568" s="480"/>
      <c r="L568" s="481"/>
      <c r="M568" s="482"/>
      <c r="N568" s="483"/>
      <c r="O568" s="513"/>
      <c r="P568" s="514">
        <v>1325</v>
      </c>
      <c r="Q568" s="486">
        <v>1.02</v>
      </c>
      <c r="R568" s="485">
        <v>1.08</v>
      </c>
      <c r="S568" s="515">
        <v>6.2</v>
      </c>
      <c r="T568" s="516">
        <v>87</v>
      </c>
      <c r="U568" s="490">
        <v>10</v>
      </c>
      <c r="V568" s="373"/>
      <c r="W568" s="391" t="s">
        <v>511</v>
      </c>
    </row>
    <row r="569" spans="1:23">
      <c r="A569" s="476" t="s">
        <v>1040</v>
      </c>
      <c r="B569" s="542">
        <v>54.8</v>
      </c>
      <c r="C569" s="543">
        <v>48.5</v>
      </c>
      <c r="D569" s="543">
        <v>15</v>
      </c>
      <c r="E569" s="544">
        <v>10.7</v>
      </c>
      <c r="F569" s="512"/>
      <c r="G569" s="480"/>
      <c r="H569" s="481"/>
      <c r="I569" s="482"/>
      <c r="J569" s="483">
        <v>11.777465788800255</v>
      </c>
      <c r="K569" s="480">
        <v>2250</v>
      </c>
      <c r="L569" s="481"/>
      <c r="M569" s="482"/>
      <c r="N569" s="483"/>
      <c r="O569" s="513"/>
      <c r="P569" s="514">
        <v>2776</v>
      </c>
      <c r="Q569" s="486">
        <v>1.02</v>
      </c>
      <c r="R569" s="485">
        <v>1.08</v>
      </c>
      <c r="S569" s="515">
        <v>6.2</v>
      </c>
      <c r="T569" s="516">
        <v>87</v>
      </c>
      <c r="U569" s="490">
        <v>10</v>
      </c>
      <c r="V569" s="373"/>
      <c r="W569" s="391" t="s">
        <v>511</v>
      </c>
    </row>
    <row r="570" spans="1:23">
      <c r="A570" s="476" t="s">
        <v>1041</v>
      </c>
      <c r="B570" s="542">
        <v>54.8</v>
      </c>
      <c r="C570" s="543">
        <v>48.5</v>
      </c>
      <c r="D570" s="543">
        <v>15</v>
      </c>
      <c r="E570" s="544">
        <v>10.7</v>
      </c>
      <c r="F570" s="512"/>
      <c r="G570" s="480"/>
      <c r="H570" s="481"/>
      <c r="I570" s="482"/>
      <c r="J570" s="483"/>
      <c r="K570" s="480"/>
      <c r="L570" s="481">
        <v>6.9376214952587638</v>
      </c>
      <c r="M570" s="482">
        <v>4150</v>
      </c>
      <c r="N570" s="483"/>
      <c r="O570" s="513"/>
      <c r="P570" s="514">
        <v>4626</v>
      </c>
      <c r="Q570" s="486">
        <v>1.02</v>
      </c>
      <c r="R570" s="485">
        <v>1.08</v>
      </c>
      <c r="S570" s="515">
        <v>6.2</v>
      </c>
      <c r="T570" s="516">
        <v>87</v>
      </c>
      <c r="U570" s="490">
        <v>10</v>
      </c>
      <c r="V570" s="373"/>
      <c r="W570" s="391" t="s">
        <v>511</v>
      </c>
    </row>
    <row r="571" spans="1:23">
      <c r="A571" s="476" t="s">
        <v>1042</v>
      </c>
      <c r="B571" s="542">
        <v>54.8</v>
      </c>
      <c r="C571" s="543">
        <v>48.5</v>
      </c>
      <c r="D571" s="543">
        <v>15</v>
      </c>
      <c r="E571" s="544">
        <v>10.7</v>
      </c>
      <c r="F571" s="512"/>
      <c r="G571" s="480"/>
      <c r="H571" s="481"/>
      <c r="I571" s="482"/>
      <c r="J571" s="483"/>
      <c r="K571" s="480"/>
      <c r="L571" s="481"/>
      <c r="M571" s="482"/>
      <c r="N571" s="483">
        <v>4.0432128096111288</v>
      </c>
      <c r="O571" s="513">
        <v>4700</v>
      </c>
      <c r="P571" s="514">
        <v>5551</v>
      </c>
      <c r="Q571" s="486">
        <v>1.02</v>
      </c>
      <c r="R571" s="485">
        <v>1.08</v>
      </c>
      <c r="S571" s="515">
        <v>6.2</v>
      </c>
      <c r="T571" s="516">
        <v>87</v>
      </c>
      <c r="U571" s="490">
        <v>10</v>
      </c>
      <c r="V571" s="373"/>
      <c r="W571" s="391" t="s">
        <v>511</v>
      </c>
    </row>
    <row r="572" spans="1:23">
      <c r="A572" s="476" t="s">
        <v>1043</v>
      </c>
      <c r="B572" s="542">
        <v>53.8</v>
      </c>
      <c r="C572" s="543">
        <v>62.5</v>
      </c>
      <c r="D572" s="543">
        <v>14.6</v>
      </c>
      <c r="E572" s="544">
        <v>13.8</v>
      </c>
      <c r="F572" s="512"/>
      <c r="G572" s="480"/>
      <c r="H572" s="481">
        <v>12.584608714480584</v>
      </c>
      <c r="I572" s="482">
        <v>1400</v>
      </c>
      <c r="J572" s="483"/>
      <c r="K572" s="480"/>
      <c r="L572" s="481"/>
      <c r="M572" s="482"/>
      <c r="N572" s="483"/>
      <c r="O572" s="513"/>
      <c r="P572" s="514">
        <v>1837</v>
      </c>
      <c r="Q572" s="486">
        <v>1.02</v>
      </c>
      <c r="R572" s="485">
        <v>0.65</v>
      </c>
      <c r="S572" s="515">
        <v>3.5</v>
      </c>
      <c r="T572" s="516">
        <v>65.5</v>
      </c>
      <c r="U572" s="490">
        <v>10</v>
      </c>
      <c r="V572" s="373"/>
      <c r="W572" s="391" t="s">
        <v>511</v>
      </c>
    </row>
    <row r="573" spans="1:23">
      <c r="A573" s="476" t="s">
        <v>1044</v>
      </c>
      <c r="B573" s="542">
        <v>53.8</v>
      </c>
      <c r="C573" s="543">
        <v>62.5</v>
      </c>
      <c r="D573" s="543">
        <v>14.6</v>
      </c>
      <c r="E573" s="544">
        <v>13.8</v>
      </c>
      <c r="F573" s="512"/>
      <c r="G573" s="480"/>
      <c r="H573" s="481"/>
      <c r="I573" s="482"/>
      <c r="J573" s="483">
        <v>9.9719703688069501</v>
      </c>
      <c r="K573" s="480">
        <v>3050</v>
      </c>
      <c r="L573" s="481"/>
      <c r="M573" s="482"/>
      <c r="N573" s="483"/>
      <c r="O573" s="513"/>
      <c r="P573" s="514">
        <v>3681</v>
      </c>
      <c r="Q573" s="486">
        <v>1.02</v>
      </c>
      <c r="R573" s="485">
        <v>0.65</v>
      </c>
      <c r="S573" s="515">
        <v>3.5</v>
      </c>
      <c r="T573" s="516">
        <v>65.5</v>
      </c>
      <c r="U573" s="490">
        <v>10</v>
      </c>
      <c r="V573" s="373"/>
      <c r="W573" s="391" t="s">
        <v>511</v>
      </c>
    </row>
    <row r="574" spans="1:23">
      <c r="A574" s="476" t="s">
        <v>1045</v>
      </c>
      <c r="B574" s="542">
        <v>53.8</v>
      </c>
      <c r="C574" s="543">
        <v>62.5</v>
      </c>
      <c r="D574" s="543">
        <v>14.6</v>
      </c>
      <c r="E574" s="544">
        <v>13.8</v>
      </c>
      <c r="F574" s="512"/>
      <c r="G574" s="480"/>
      <c r="H574" s="481"/>
      <c r="I574" s="482"/>
      <c r="J574" s="483"/>
      <c r="K574" s="480"/>
      <c r="L574" s="481">
        <v>4.5670548887239537</v>
      </c>
      <c r="M574" s="482">
        <v>4600</v>
      </c>
      <c r="N574" s="483"/>
      <c r="O574" s="513"/>
      <c r="P574" s="514">
        <v>6135</v>
      </c>
      <c r="Q574" s="486">
        <v>1.02</v>
      </c>
      <c r="R574" s="485">
        <v>0.65</v>
      </c>
      <c r="S574" s="515">
        <v>3.5</v>
      </c>
      <c r="T574" s="516">
        <v>65.5</v>
      </c>
      <c r="U574" s="490">
        <v>10</v>
      </c>
      <c r="V574" s="373"/>
      <c r="W574" s="391" t="s">
        <v>511</v>
      </c>
    </row>
    <row r="575" spans="1:23">
      <c r="A575" s="476" t="s">
        <v>1046</v>
      </c>
      <c r="B575" s="542">
        <v>54.1</v>
      </c>
      <c r="C575" s="543">
        <v>89</v>
      </c>
      <c r="D575" s="543">
        <v>14.5</v>
      </c>
      <c r="E575" s="544">
        <v>19.399999999999999</v>
      </c>
      <c r="F575" s="512"/>
      <c r="G575" s="480"/>
      <c r="H575" s="481">
        <v>11.793381283109445</v>
      </c>
      <c r="I575" s="482">
        <v>2000</v>
      </c>
      <c r="J575" s="483"/>
      <c r="K575" s="480"/>
      <c r="L575" s="481"/>
      <c r="M575" s="482"/>
      <c r="N575" s="483"/>
      <c r="O575" s="513"/>
      <c r="P575" s="514">
        <v>2495</v>
      </c>
      <c r="Q575" s="486">
        <v>1.02</v>
      </c>
      <c r="R575" s="485">
        <v>0.33</v>
      </c>
      <c r="S575" s="515">
        <v>1.8</v>
      </c>
      <c r="T575" s="516">
        <v>46.3</v>
      </c>
      <c r="U575" s="490">
        <v>10</v>
      </c>
      <c r="V575" s="373"/>
      <c r="W575" s="391" t="s">
        <v>511</v>
      </c>
    </row>
    <row r="576" spans="1:23">
      <c r="A576" s="476" t="s">
        <v>1047</v>
      </c>
      <c r="B576" s="542">
        <v>54.1</v>
      </c>
      <c r="C576" s="543">
        <v>89</v>
      </c>
      <c r="D576" s="543">
        <v>14.5</v>
      </c>
      <c r="E576" s="544">
        <v>19.399999999999999</v>
      </c>
      <c r="F576" s="512"/>
      <c r="G576" s="480"/>
      <c r="H576" s="481"/>
      <c r="I576" s="482"/>
      <c r="J576" s="483">
        <v>4.8481044203377346</v>
      </c>
      <c r="K576" s="480">
        <v>4550</v>
      </c>
      <c r="L576" s="481"/>
      <c r="M576" s="482"/>
      <c r="N576" s="483"/>
      <c r="O576" s="513"/>
      <c r="P576" s="514">
        <v>5206</v>
      </c>
      <c r="Q576" s="486">
        <v>1.02</v>
      </c>
      <c r="R576" s="485">
        <v>0.33</v>
      </c>
      <c r="S576" s="515">
        <v>1.8</v>
      </c>
      <c r="T576" s="516">
        <v>46.3</v>
      </c>
      <c r="U576" s="490">
        <v>10</v>
      </c>
      <c r="V576" s="373"/>
      <c r="W576" s="391" t="s">
        <v>511</v>
      </c>
    </row>
    <row r="577" spans="1:23">
      <c r="A577" s="476" t="s">
        <v>1048</v>
      </c>
      <c r="B577" s="542">
        <v>54.5</v>
      </c>
      <c r="C577" s="543">
        <v>98</v>
      </c>
      <c r="D577" s="543">
        <v>14</v>
      </c>
      <c r="E577" s="544">
        <v>20.3</v>
      </c>
      <c r="F577" s="512"/>
      <c r="G577" s="480"/>
      <c r="H577" s="481">
        <v>11.77006323330761</v>
      </c>
      <c r="I577" s="482">
        <v>2150</v>
      </c>
      <c r="J577" s="483"/>
      <c r="K577" s="480"/>
      <c r="L577" s="481"/>
      <c r="M577" s="482"/>
      <c r="N577" s="483"/>
      <c r="O577" s="513"/>
      <c r="P577" s="514">
        <v>2701</v>
      </c>
      <c r="Q577" s="486">
        <v>1.02</v>
      </c>
      <c r="R577" s="485">
        <v>0.3</v>
      </c>
      <c r="S577" s="515">
        <v>1.5</v>
      </c>
      <c r="T577" s="516">
        <v>42.8</v>
      </c>
      <c r="U577" s="490">
        <v>10</v>
      </c>
      <c r="V577" s="373"/>
      <c r="W577" s="391" t="s">
        <v>511</v>
      </c>
    </row>
    <row r="578" spans="1:23">
      <c r="A578" s="476" t="s">
        <v>1049</v>
      </c>
      <c r="B578" s="542">
        <v>54.5</v>
      </c>
      <c r="C578" s="543">
        <v>98</v>
      </c>
      <c r="D578" s="543">
        <v>14</v>
      </c>
      <c r="E578" s="544">
        <v>20.3</v>
      </c>
      <c r="F578" s="512"/>
      <c r="G578" s="480"/>
      <c r="H578" s="481"/>
      <c r="I578" s="482"/>
      <c r="J578" s="483">
        <v>4.8473059841683774</v>
      </c>
      <c r="K578" s="480">
        <v>4600</v>
      </c>
      <c r="L578" s="481"/>
      <c r="M578" s="482"/>
      <c r="N578" s="483"/>
      <c r="O578" s="513"/>
      <c r="P578" s="514">
        <v>5637</v>
      </c>
      <c r="Q578" s="486">
        <v>1.02</v>
      </c>
      <c r="R578" s="485">
        <v>0.3</v>
      </c>
      <c r="S578" s="515">
        <v>1.5</v>
      </c>
      <c r="T578" s="516">
        <v>42.8</v>
      </c>
      <c r="U578" s="490">
        <v>10</v>
      </c>
      <c r="V578" s="373"/>
      <c r="W578" s="391" t="s">
        <v>511</v>
      </c>
    </row>
    <row r="579" spans="1:23">
      <c r="A579" s="476" t="s">
        <v>1050</v>
      </c>
      <c r="B579" s="542">
        <v>40.799999999999997</v>
      </c>
      <c r="C579" s="543">
        <v>21.9</v>
      </c>
      <c r="D579" s="543">
        <v>12.6</v>
      </c>
      <c r="E579" s="544">
        <v>5.41</v>
      </c>
      <c r="F579" s="512"/>
      <c r="G579" s="480"/>
      <c r="H579" s="481">
        <v>11.650141834326739</v>
      </c>
      <c r="I579" s="482">
        <v>500</v>
      </c>
      <c r="J579" s="483"/>
      <c r="K579" s="480"/>
      <c r="L579" s="481"/>
      <c r="M579" s="482"/>
      <c r="N579" s="483"/>
      <c r="O579" s="513"/>
      <c r="P579" s="514">
        <v>798</v>
      </c>
      <c r="Q579" s="486">
        <v>1.52</v>
      </c>
      <c r="R579" s="485">
        <v>4.13</v>
      </c>
      <c r="S579" s="515">
        <v>32</v>
      </c>
      <c r="T579" s="516">
        <v>144</v>
      </c>
      <c r="U579" s="490">
        <v>10</v>
      </c>
      <c r="V579" s="373"/>
      <c r="W579" s="391" t="s">
        <v>511</v>
      </c>
    </row>
    <row r="580" spans="1:23">
      <c r="A580" s="476" t="s">
        <v>1051</v>
      </c>
      <c r="B580" s="542">
        <v>40.799999999999997</v>
      </c>
      <c r="C580" s="543">
        <v>21.9</v>
      </c>
      <c r="D580" s="543">
        <v>12.6</v>
      </c>
      <c r="E580" s="544">
        <v>5.41</v>
      </c>
      <c r="F580" s="512"/>
      <c r="G580" s="480"/>
      <c r="H580" s="481"/>
      <c r="I580" s="482"/>
      <c r="J580" s="483">
        <v>11.459155902616464</v>
      </c>
      <c r="K580" s="480">
        <v>1200</v>
      </c>
      <c r="L580" s="481"/>
      <c r="M580" s="482"/>
      <c r="N580" s="483"/>
      <c r="O580" s="513"/>
      <c r="P580" s="514">
        <v>1675</v>
      </c>
      <c r="Q580" s="486">
        <v>1.52</v>
      </c>
      <c r="R580" s="485">
        <v>4.13</v>
      </c>
      <c r="S580" s="515">
        <v>32</v>
      </c>
      <c r="T580" s="516">
        <v>144</v>
      </c>
      <c r="U580" s="490">
        <v>10</v>
      </c>
      <c r="V580" s="373"/>
      <c r="W580" s="391" t="s">
        <v>511</v>
      </c>
    </row>
    <row r="581" spans="1:23">
      <c r="A581" s="476" t="s">
        <v>1052</v>
      </c>
      <c r="B581" s="542">
        <v>40.799999999999997</v>
      </c>
      <c r="C581" s="543">
        <v>21.9</v>
      </c>
      <c r="D581" s="543">
        <v>12.6</v>
      </c>
      <c r="E581" s="544">
        <v>5.41</v>
      </c>
      <c r="F581" s="512"/>
      <c r="G581" s="480"/>
      <c r="H581" s="481"/>
      <c r="I581" s="482"/>
      <c r="J581" s="483"/>
      <c r="K581" s="480"/>
      <c r="L581" s="481">
        <v>10.926171907145932</v>
      </c>
      <c r="M581" s="482">
        <v>2150</v>
      </c>
      <c r="N581" s="483"/>
      <c r="O581" s="513"/>
      <c r="P581" s="514">
        <v>2795</v>
      </c>
      <c r="Q581" s="486">
        <v>1.52</v>
      </c>
      <c r="R581" s="485">
        <v>4.13</v>
      </c>
      <c r="S581" s="515">
        <v>32</v>
      </c>
      <c r="T581" s="516">
        <v>144</v>
      </c>
      <c r="U581" s="490">
        <v>10</v>
      </c>
      <c r="V581" s="373"/>
      <c r="W581" s="391" t="s">
        <v>511</v>
      </c>
    </row>
    <row r="582" spans="1:23">
      <c r="A582" s="476" t="s">
        <v>1053</v>
      </c>
      <c r="B582" s="542">
        <v>40.799999999999997</v>
      </c>
      <c r="C582" s="543">
        <v>21.9</v>
      </c>
      <c r="D582" s="543">
        <v>12.6</v>
      </c>
      <c r="E582" s="544">
        <v>5.41</v>
      </c>
      <c r="F582" s="512"/>
      <c r="G582" s="480"/>
      <c r="H582" s="481"/>
      <c r="I582" s="482"/>
      <c r="J582" s="483"/>
      <c r="K582" s="480"/>
      <c r="L582" s="481"/>
      <c r="M582" s="482"/>
      <c r="N582" s="483">
        <v>10.504226244065093</v>
      </c>
      <c r="O582" s="513">
        <v>2700</v>
      </c>
      <c r="P582" s="514">
        <v>3353</v>
      </c>
      <c r="Q582" s="486">
        <v>1.52</v>
      </c>
      <c r="R582" s="485">
        <v>4.13</v>
      </c>
      <c r="S582" s="515">
        <v>32</v>
      </c>
      <c r="T582" s="516">
        <v>144</v>
      </c>
      <c r="U582" s="490">
        <v>10</v>
      </c>
      <c r="V582" s="373"/>
      <c r="W582" s="391" t="s">
        <v>511</v>
      </c>
    </row>
    <row r="583" spans="1:23">
      <c r="A583" s="476" t="s">
        <v>1054</v>
      </c>
      <c r="B583" s="542">
        <v>41.4</v>
      </c>
      <c r="C583" s="543">
        <v>24.5</v>
      </c>
      <c r="D583" s="543">
        <v>12.45</v>
      </c>
      <c r="E583" s="544">
        <v>6.1</v>
      </c>
      <c r="F583" s="512"/>
      <c r="G583" s="480"/>
      <c r="H583" s="481">
        <v>11.632779476898532</v>
      </c>
      <c r="I583" s="482">
        <v>550</v>
      </c>
      <c r="J583" s="483"/>
      <c r="K583" s="480"/>
      <c r="L583" s="481"/>
      <c r="M583" s="482"/>
      <c r="N583" s="483"/>
      <c r="O583" s="513"/>
      <c r="P583" s="514">
        <v>901</v>
      </c>
      <c r="Q583" s="486">
        <v>1.52</v>
      </c>
      <c r="R583" s="485">
        <v>3.3</v>
      </c>
      <c r="S583" s="515">
        <v>25</v>
      </c>
      <c r="T583" s="516">
        <v>127</v>
      </c>
      <c r="U583" s="490">
        <v>10</v>
      </c>
      <c r="V583" s="373"/>
      <c r="W583" s="391" t="s">
        <v>511</v>
      </c>
    </row>
    <row r="584" spans="1:23">
      <c r="A584" s="476" t="s">
        <v>1055</v>
      </c>
      <c r="B584" s="542">
        <v>41.4</v>
      </c>
      <c r="C584" s="543">
        <v>24.5</v>
      </c>
      <c r="D584" s="543">
        <v>12.45</v>
      </c>
      <c r="E584" s="544">
        <v>6.1</v>
      </c>
      <c r="F584" s="512"/>
      <c r="G584" s="480"/>
      <c r="H584" s="481"/>
      <c r="I584" s="482"/>
      <c r="J584" s="483">
        <v>11.275515583664278</v>
      </c>
      <c r="K584" s="480">
        <v>1300</v>
      </c>
      <c r="L584" s="481"/>
      <c r="M584" s="482"/>
      <c r="N584" s="483"/>
      <c r="O584" s="513"/>
      <c r="P584" s="514">
        <v>1892</v>
      </c>
      <c r="Q584" s="486">
        <v>1.52</v>
      </c>
      <c r="R584" s="485">
        <v>3.3</v>
      </c>
      <c r="S584" s="515">
        <v>25</v>
      </c>
      <c r="T584" s="516">
        <v>127</v>
      </c>
      <c r="U584" s="490">
        <v>10</v>
      </c>
      <c r="V584" s="373"/>
      <c r="W584" s="391" t="s">
        <v>511</v>
      </c>
    </row>
    <row r="585" spans="1:23">
      <c r="A585" s="476" t="s">
        <v>1056</v>
      </c>
      <c r="B585" s="542">
        <v>41.4</v>
      </c>
      <c r="C585" s="543">
        <v>24.5</v>
      </c>
      <c r="D585" s="543">
        <v>12.45</v>
      </c>
      <c r="E585" s="544">
        <v>6.1</v>
      </c>
      <c r="F585" s="512"/>
      <c r="G585" s="480"/>
      <c r="H585" s="481"/>
      <c r="I585" s="482"/>
      <c r="J585" s="483"/>
      <c r="K585" s="480"/>
      <c r="L585" s="481">
        <v>10.646449810232319</v>
      </c>
      <c r="M585" s="482">
        <v>2350</v>
      </c>
      <c r="N585" s="483"/>
      <c r="O585" s="513"/>
      <c r="P585" s="514">
        <v>3153</v>
      </c>
      <c r="Q585" s="486">
        <v>1.52</v>
      </c>
      <c r="R585" s="485">
        <v>3.3</v>
      </c>
      <c r="S585" s="515">
        <v>25</v>
      </c>
      <c r="T585" s="516">
        <v>127</v>
      </c>
      <c r="U585" s="490">
        <v>10</v>
      </c>
      <c r="V585" s="373"/>
      <c r="W585" s="391" t="s">
        <v>511</v>
      </c>
    </row>
    <row r="586" spans="1:23">
      <c r="A586" s="476" t="s">
        <v>1057</v>
      </c>
      <c r="B586" s="542">
        <v>41.4</v>
      </c>
      <c r="C586" s="543">
        <v>24.5</v>
      </c>
      <c r="D586" s="543">
        <v>12.45</v>
      </c>
      <c r="E586" s="544">
        <v>6.1</v>
      </c>
      <c r="F586" s="512"/>
      <c r="G586" s="480"/>
      <c r="H586" s="481"/>
      <c r="I586" s="482"/>
      <c r="J586" s="483"/>
      <c r="K586" s="480"/>
      <c r="L586" s="481"/>
      <c r="M586" s="482"/>
      <c r="N586" s="483">
        <v>10.207868763825012</v>
      </c>
      <c r="O586" s="513">
        <v>2900</v>
      </c>
      <c r="P586" s="514">
        <v>3783</v>
      </c>
      <c r="Q586" s="486">
        <v>1.52</v>
      </c>
      <c r="R586" s="485">
        <v>3.3</v>
      </c>
      <c r="S586" s="515">
        <v>25</v>
      </c>
      <c r="T586" s="516">
        <v>127</v>
      </c>
      <c r="U586" s="490">
        <v>10</v>
      </c>
      <c r="V586" s="373"/>
      <c r="W586" s="391" t="s">
        <v>511</v>
      </c>
    </row>
    <row r="587" spans="1:23">
      <c r="A587" s="476" t="s">
        <v>1058</v>
      </c>
      <c r="B587" s="542">
        <v>40.799999999999997</v>
      </c>
      <c r="C587" s="543">
        <v>34.700000000000003</v>
      </c>
      <c r="D587" s="543">
        <v>12.45</v>
      </c>
      <c r="E587" s="544">
        <v>8.32</v>
      </c>
      <c r="F587" s="512"/>
      <c r="G587" s="480"/>
      <c r="H587" s="481">
        <v>11.482589759268032</v>
      </c>
      <c r="I587" s="482">
        <v>815</v>
      </c>
      <c r="J587" s="483"/>
      <c r="K587" s="480"/>
      <c r="L587" s="481"/>
      <c r="M587" s="482"/>
      <c r="N587" s="483"/>
      <c r="O587" s="513"/>
      <c r="P587" s="514">
        <v>1242</v>
      </c>
      <c r="Q587" s="486">
        <v>1.52</v>
      </c>
      <c r="R587" s="485">
        <v>1.75</v>
      </c>
      <c r="S587" s="515">
        <v>13.4</v>
      </c>
      <c r="T587" s="516">
        <v>93</v>
      </c>
      <c r="U587" s="490">
        <v>10</v>
      </c>
      <c r="V587" s="373"/>
      <c r="W587" s="391" t="s">
        <v>511</v>
      </c>
    </row>
    <row r="588" spans="1:23">
      <c r="A588" s="476" t="s">
        <v>1059</v>
      </c>
      <c r="B588" s="542">
        <v>40.799999999999997</v>
      </c>
      <c r="C588" s="543">
        <v>34.700000000000003</v>
      </c>
      <c r="D588" s="543">
        <v>12.45</v>
      </c>
      <c r="E588" s="544">
        <v>8.32</v>
      </c>
      <c r="F588" s="512"/>
      <c r="G588" s="480"/>
      <c r="H588" s="481"/>
      <c r="I588" s="482"/>
      <c r="J588" s="483">
        <v>10.976501238239955</v>
      </c>
      <c r="K588" s="480">
        <v>1840</v>
      </c>
      <c r="L588" s="481"/>
      <c r="M588" s="482"/>
      <c r="N588" s="483"/>
      <c r="O588" s="513"/>
      <c r="P588" s="514">
        <v>2600</v>
      </c>
      <c r="Q588" s="486">
        <v>1.52</v>
      </c>
      <c r="R588" s="485">
        <v>1.75</v>
      </c>
      <c r="S588" s="515">
        <v>13.4</v>
      </c>
      <c r="T588" s="516">
        <v>93</v>
      </c>
      <c r="U588" s="490">
        <v>10</v>
      </c>
      <c r="V588" s="373"/>
      <c r="W588" s="391" t="s">
        <v>511</v>
      </c>
    </row>
    <row r="589" spans="1:23">
      <c r="A589" s="476" t="s">
        <v>1060</v>
      </c>
      <c r="B589" s="542">
        <v>40.799999999999997</v>
      </c>
      <c r="C589" s="543">
        <v>34.700000000000003</v>
      </c>
      <c r="D589" s="543">
        <v>12.45</v>
      </c>
      <c r="E589" s="544">
        <v>8.32</v>
      </c>
      <c r="F589" s="512"/>
      <c r="G589" s="480"/>
      <c r="H589" s="481"/>
      <c r="I589" s="482"/>
      <c r="J589" s="483"/>
      <c r="K589" s="480"/>
      <c r="L589" s="481">
        <v>9.6876921882023268</v>
      </c>
      <c r="M589" s="482">
        <v>3450</v>
      </c>
      <c r="N589" s="483"/>
      <c r="O589" s="513"/>
      <c r="P589" s="514">
        <v>4334</v>
      </c>
      <c r="Q589" s="486">
        <v>1.52</v>
      </c>
      <c r="R589" s="485">
        <v>1.75</v>
      </c>
      <c r="S589" s="515">
        <v>13.4</v>
      </c>
      <c r="T589" s="516">
        <v>93</v>
      </c>
      <c r="U589" s="490">
        <v>10</v>
      </c>
      <c r="V589" s="373"/>
      <c r="W589" s="391" t="s">
        <v>511</v>
      </c>
    </row>
    <row r="590" spans="1:23">
      <c r="A590" s="476" t="s">
        <v>1061</v>
      </c>
      <c r="B590" s="542">
        <v>40.799999999999997</v>
      </c>
      <c r="C590" s="543">
        <v>34.700000000000003</v>
      </c>
      <c r="D590" s="543">
        <v>12.45</v>
      </c>
      <c r="E590" s="544">
        <v>8.32</v>
      </c>
      <c r="F590" s="512"/>
      <c r="G590" s="480"/>
      <c r="H590" s="481"/>
      <c r="I590" s="482"/>
      <c r="J590" s="483"/>
      <c r="K590" s="480"/>
      <c r="L590" s="481"/>
      <c r="M590" s="482"/>
      <c r="N590" s="483">
        <v>8.8330993416001924</v>
      </c>
      <c r="O590" s="513">
        <v>4200</v>
      </c>
      <c r="P590" s="514">
        <v>5201</v>
      </c>
      <c r="Q590" s="486">
        <v>1.52</v>
      </c>
      <c r="R590" s="485">
        <v>1.75</v>
      </c>
      <c r="S590" s="515">
        <v>13.4</v>
      </c>
      <c r="T590" s="516">
        <v>93</v>
      </c>
      <c r="U590" s="490">
        <v>10</v>
      </c>
      <c r="V590" s="373"/>
      <c r="W590" s="391" t="s">
        <v>511</v>
      </c>
    </row>
    <row r="591" spans="1:23">
      <c r="A591" s="476" t="s">
        <v>1062</v>
      </c>
      <c r="B591" s="542">
        <v>41.2</v>
      </c>
      <c r="C591" s="543">
        <v>43.5</v>
      </c>
      <c r="D591" s="543">
        <v>12.65</v>
      </c>
      <c r="E591" s="544">
        <v>10.57</v>
      </c>
      <c r="F591" s="512"/>
      <c r="G591" s="480"/>
      <c r="H591" s="481">
        <v>11.589373583328015</v>
      </c>
      <c r="I591" s="482">
        <v>1100</v>
      </c>
      <c r="J591" s="483"/>
      <c r="K591" s="480"/>
      <c r="L591" s="481"/>
      <c r="M591" s="482"/>
      <c r="N591" s="483"/>
      <c r="O591" s="513"/>
      <c r="P591" s="514">
        <v>1556</v>
      </c>
      <c r="Q591" s="486">
        <v>1.52</v>
      </c>
      <c r="R591" s="485">
        <v>1.08</v>
      </c>
      <c r="S591" s="515">
        <v>8.5</v>
      </c>
      <c r="T591" s="516">
        <v>74</v>
      </c>
      <c r="U591" s="490">
        <v>10</v>
      </c>
      <c r="V591" s="373"/>
      <c r="W591" s="391" t="s">
        <v>511</v>
      </c>
    </row>
    <row r="592" spans="1:23">
      <c r="A592" s="476" t="s">
        <v>1063</v>
      </c>
      <c r="B592" s="542">
        <v>41.2</v>
      </c>
      <c r="C592" s="543">
        <v>43.5</v>
      </c>
      <c r="D592" s="543">
        <v>12.65</v>
      </c>
      <c r="E592" s="544">
        <v>10.57</v>
      </c>
      <c r="F592" s="512"/>
      <c r="G592" s="480"/>
      <c r="H592" s="481"/>
      <c r="I592" s="482"/>
      <c r="J592" s="483">
        <v>10.757574928986886</v>
      </c>
      <c r="K592" s="480">
        <v>2450</v>
      </c>
      <c r="L592" s="481"/>
      <c r="M592" s="482"/>
      <c r="N592" s="483"/>
      <c r="O592" s="513"/>
      <c r="P592" s="514">
        <v>3252</v>
      </c>
      <c r="Q592" s="486">
        <v>1.52</v>
      </c>
      <c r="R592" s="485">
        <v>1.08</v>
      </c>
      <c r="S592" s="515">
        <v>8.5</v>
      </c>
      <c r="T592" s="516">
        <v>74</v>
      </c>
      <c r="U592" s="490">
        <v>10</v>
      </c>
      <c r="V592" s="373"/>
      <c r="W592" s="391" t="s">
        <v>511</v>
      </c>
    </row>
    <row r="593" spans="1:23">
      <c r="A593" s="476" t="s">
        <v>1064</v>
      </c>
      <c r="B593" s="542">
        <v>41.2</v>
      </c>
      <c r="C593" s="543">
        <v>43.5</v>
      </c>
      <c r="D593" s="543">
        <v>12.65</v>
      </c>
      <c r="E593" s="544">
        <v>10.57</v>
      </c>
      <c r="F593" s="512"/>
      <c r="G593" s="480"/>
      <c r="H593" s="481"/>
      <c r="I593" s="482"/>
      <c r="J593" s="483"/>
      <c r="K593" s="480"/>
      <c r="L593" s="481">
        <v>8.4999233343583658</v>
      </c>
      <c r="M593" s="482">
        <v>4550</v>
      </c>
      <c r="N593" s="483"/>
      <c r="O593" s="513"/>
      <c r="P593" s="514">
        <v>5420</v>
      </c>
      <c r="Q593" s="486">
        <v>1.52</v>
      </c>
      <c r="R593" s="485">
        <v>1.08</v>
      </c>
      <c r="S593" s="515">
        <v>8.5</v>
      </c>
      <c r="T593" s="516">
        <v>74</v>
      </c>
      <c r="U593" s="490">
        <v>10</v>
      </c>
      <c r="V593" s="373"/>
      <c r="W593" s="391" t="s">
        <v>511</v>
      </c>
    </row>
    <row r="594" spans="1:23">
      <c r="A594" s="476" t="s">
        <v>1065</v>
      </c>
      <c r="B594" s="542">
        <v>41.2</v>
      </c>
      <c r="C594" s="543">
        <v>43.5</v>
      </c>
      <c r="D594" s="543">
        <v>12.65</v>
      </c>
      <c r="E594" s="544">
        <v>10.57</v>
      </c>
      <c r="F594" s="512"/>
      <c r="G594" s="480"/>
      <c r="H594" s="481"/>
      <c r="I594" s="482"/>
      <c r="J594" s="483"/>
      <c r="K594" s="480"/>
      <c r="L594" s="481"/>
      <c r="M594" s="482"/>
      <c r="N594" s="483">
        <v>6.1741141716683536</v>
      </c>
      <c r="O594" s="513">
        <v>5800</v>
      </c>
      <c r="P594" s="514">
        <v>6505</v>
      </c>
      <c r="Q594" s="486">
        <v>1.52</v>
      </c>
      <c r="R594" s="485">
        <v>1.08</v>
      </c>
      <c r="S594" s="515">
        <v>8.5</v>
      </c>
      <c r="T594" s="516">
        <v>74</v>
      </c>
      <c r="U594" s="490">
        <v>10</v>
      </c>
      <c r="V594" s="373"/>
      <c r="W594" s="391" t="s">
        <v>511</v>
      </c>
    </row>
    <row r="595" spans="1:23">
      <c r="A595" s="476" t="s">
        <v>1066</v>
      </c>
      <c r="B595" s="542">
        <v>41.1</v>
      </c>
      <c r="C595" s="543">
        <v>55.4</v>
      </c>
      <c r="D595" s="543">
        <v>12.2</v>
      </c>
      <c r="E595" s="544">
        <v>12.8</v>
      </c>
      <c r="F595" s="512"/>
      <c r="G595" s="480"/>
      <c r="H595" s="481">
        <v>10.777063289365486</v>
      </c>
      <c r="I595" s="482">
        <v>1400</v>
      </c>
      <c r="J595" s="483"/>
      <c r="K595" s="480"/>
      <c r="L595" s="481"/>
      <c r="M595" s="482"/>
      <c r="N595" s="483"/>
      <c r="O595" s="513"/>
      <c r="P595" s="514">
        <v>1996</v>
      </c>
      <c r="Q595" s="486">
        <v>1.52</v>
      </c>
      <c r="R595" s="485">
        <v>0.74</v>
      </c>
      <c r="S595" s="515">
        <v>5.4</v>
      </c>
      <c r="T595" s="516">
        <v>57.8</v>
      </c>
      <c r="U595" s="490">
        <v>10</v>
      </c>
      <c r="V595" s="373"/>
      <c r="W595" s="391" t="s">
        <v>511</v>
      </c>
    </row>
    <row r="596" spans="1:23">
      <c r="A596" s="476" t="s">
        <v>1067</v>
      </c>
      <c r="B596" s="542">
        <v>41.1</v>
      </c>
      <c r="C596" s="543">
        <v>55.4</v>
      </c>
      <c r="D596" s="543">
        <v>12.2</v>
      </c>
      <c r="E596" s="544">
        <v>12.8</v>
      </c>
      <c r="F596" s="512"/>
      <c r="G596" s="480"/>
      <c r="H596" s="481"/>
      <c r="I596" s="482"/>
      <c r="J596" s="483">
        <v>9.5955028593145926</v>
      </c>
      <c r="K596" s="480">
        <v>3100</v>
      </c>
      <c r="L596" s="481"/>
      <c r="M596" s="482"/>
      <c r="N596" s="483"/>
      <c r="O596" s="513"/>
      <c r="P596" s="514">
        <v>4166</v>
      </c>
      <c r="Q596" s="486">
        <v>1.52</v>
      </c>
      <c r="R596" s="485">
        <v>0.74</v>
      </c>
      <c r="S596" s="515">
        <v>5.4</v>
      </c>
      <c r="T596" s="516">
        <v>57.8</v>
      </c>
      <c r="U596" s="490">
        <v>10</v>
      </c>
      <c r="V596" s="373"/>
      <c r="W596" s="391" t="s">
        <v>511</v>
      </c>
    </row>
    <row r="597" spans="1:23">
      <c r="A597" s="476" t="s">
        <v>1068</v>
      </c>
      <c r="B597" s="542">
        <v>41.1</v>
      </c>
      <c r="C597" s="543">
        <v>55.4</v>
      </c>
      <c r="D597" s="543">
        <v>12.2</v>
      </c>
      <c r="E597" s="544">
        <v>12.8</v>
      </c>
      <c r="F597" s="512"/>
      <c r="G597" s="480"/>
      <c r="H597" s="481"/>
      <c r="I597" s="482"/>
      <c r="J597" s="483"/>
      <c r="K597" s="480"/>
      <c r="L597" s="481">
        <v>5.1268764455012183</v>
      </c>
      <c r="M597" s="482">
        <v>6100</v>
      </c>
      <c r="N597" s="483"/>
      <c r="O597" s="513"/>
      <c r="P597" s="514">
        <v>6943</v>
      </c>
      <c r="Q597" s="486">
        <v>1.52</v>
      </c>
      <c r="R597" s="485">
        <v>0.74</v>
      </c>
      <c r="S597" s="515">
        <v>5.4</v>
      </c>
      <c r="T597" s="516">
        <v>57.8</v>
      </c>
      <c r="U597" s="490">
        <v>10</v>
      </c>
      <c r="V597" s="373"/>
      <c r="W597" s="391" t="s">
        <v>511</v>
      </c>
    </row>
    <row r="598" spans="1:23">
      <c r="A598" s="476" t="s">
        <v>1069</v>
      </c>
      <c r="B598" s="542">
        <v>41.1</v>
      </c>
      <c r="C598" s="543">
        <v>62.1</v>
      </c>
      <c r="D598" s="543">
        <v>12.4</v>
      </c>
      <c r="E598" s="544">
        <v>14.58</v>
      </c>
      <c r="F598" s="512"/>
      <c r="G598" s="480"/>
      <c r="H598" s="481">
        <v>11.071215728829969</v>
      </c>
      <c r="I598" s="482">
        <v>1600</v>
      </c>
      <c r="J598" s="483"/>
      <c r="K598" s="480"/>
      <c r="L598" s="481"/>
      <c r="M598" s="482"/>
      <c r="N598" s="483"/>
      <c r="O598" s="513"/>
      <c r="P598" s="514">
        <v>2288</v>
      </c>
      <c r="Q598" s="486">
        <v>1.52</v>
      </c>
      <c r="R598" s="485">
        <v>0.56999999999999995</v>
      </c>
      <c r="S598" s="515">
        <v>4.4000000000000004</v>
      </c>
      <c r="T598" s="516">
        <v>52.6</v>
      </c>
      <c r="U598" s="490">
        <v>10</v>
      </c>
      <c r="V598" s="373"/>
      <c r="W598" s="391" t="s">
        <v>511</v>
      </c>
    </row>
    <row r="599" spans="1:23">
      <c r="A599" s="476" t="s">
        <v>1070</v>
      </c>
      <c r="B599" s="542">
        <v>41.1</v>
      </c>
      <c r="C599" s="543">
        <v>62.1</v>
      </c>
      <c r="D599" s="543">
        <v>12.4</v>
      </c>
      <c r="E599" s="544">
        <v>14.58</v>
      </c>
      <c r="F599" s="512"/>
      <c r="G599" s="480"/>
      <c r="H599" s="481"/>
      <c r="I599" s="482"/>
      <c r="J599" s="483">
        <v>9.4962449378164226</v>
      </c>
      <c r="K599" s="480">
        <v>3600</v>
      </c>
      <c r="L599" s="481"/>
      <c r="M599" s="482"/>
      <c r="N599" s="483"/>
      <c r="O599" s="513"/>
      <c r="P599" s="514">
        <v>4576</v>
      </c>
      <c r="Q599" s="486">
        <v>1.52</v>
      </c>
      <c r="R599" s="485">
        <v>0.56999999999999995</v>
      </c>
      <c r="S599" s="515">
        <v>4.4000000000000004</v>
      </c>
      <c r="T599" s="516">
        <v>52.6</v>
      </c>
      <c r="U599" s="490">
        <v>10</v>
      </c>
      <c r="V599" s="373"/>
      <c r="W599" s="391" t="s">
        <v>511</v>
      </c>
    </row>
    <row r="600" spans="1:23">
      <c r="A600" s="476" t="s">
        <v>1071</v>
      </c>
      <c r="B600" s="542">
        <v>41.1</v>
      </c>
      <c r="C600" s="543">
        <v>62.1</v>
      </c>
      <c r="D600" s="543">
        <v>12.4</v>
      </c>
      <c r="E600" s="544">
        <v>14.58</v>
      </c>
      <c r="F600" s="512"/>
      <c r="G600" s="480"/>
      <c r="H600" s="481"/>
      <c r="I600" s="482"/>
      <c r="J600" s="483"/>
      <c r="K600" s="480"/>
      <c r="L600" s="481">
        <v>3.7039695846841094</v>
      </c>
      <c r="M600" s="482">
        <v>6600</v>
      </c>
      <c r="N600" s="483"/>
      <c r="O600" s="513"/>
      <c r="P600" s="514">
        <v>7200</v>
      </c>
      <c r="Q600" s="486">
        <v>1.52</v>
      </c>
      <c r="R600" s="485">
        <v>0.56999999999999995</v>
      </c>
      <c r="S600" s="515">
        <v>4.4000000000000004</v>
      </c>
      <c r="T600" s="516">
        <v>52.6</v>
      </c>
      <c r="U600" s="490">
        <v>10</v>
      </c>
      <c r="V600" s="373"/>
      <c r="W600" s="391" t="s">
        <v>511</v>
      </c>
    </row>
    <row r="601" spans="1:23">
      <c r="A601" s="476" t="s">
        <v>1072</v>
      </c>
      <c r="B601" s="542">
        <v>41.2</v>
      </c>
      <c r="C601" s="543">
        <v>87.4</v>
      </c>
      <c r="D601" s="543">
        <v>12.4</v>
      </c>
      <c r="E601" s="544">
        <v>20.100000000000001</v>
      </c>
      <c r="F601" s="512"/>
      <c r="G601" s="480"/>
      <c r="H601" s="481">
        <v>10.605814505613111</v>
      </c>
      <c r="I601" s="482">
        <v>2350</v>
      </c>
      <c r="J601" s="483"/>
      <c r="K601" s="480"/>
      <c r="L601" s="481"/>
      <c r="M601" s="482"/>
      <c r="N601" s="483"/>
      <c r="O601" s="513"/>
      <c r="P601" s="514">
        <v>3026</v>
      </c>
      <c r="Q601" s="486">
        <v>1.52</v>
      </c>
      <c r="R601" s="485">
        <v>0.3</v>
      </c>
      <c r="S601" s="515">
        <v>2.2000000000000002</v>
      </c>
      <c r="T601" s="516">
        <v>38.1</v>
      </c>
      <c r="U601" s="490">
        <v>10</v>
      </c>
      <c r="V601" s="373"/>
      <c r="W601" s="391" t="s">
        <v>511</v>
      </c>
    </row>
    <row r="602" spans="1:23">
      <c r="A602" s="476" t="s">
        <v>1073</v>
      </c>
      <c r="B602" s="542">
        <v>41.2</v>
      </c>
      <c r="C602" s="543">
        <v>87.4</v>
      </c>
      <c r="D602" s="543">
        <v>12.4</v>
      </c>
      <c r="E602" s="544">
        <v>20.100000000000001</v>
      </c>
      <c r="F602" s="512"/>
      <c r="G602" s="480"/>
      <c r="H602" s="481"/>
      <c r="I602" s="482"/>
      <c r="J602" s="483">
        <v>7.1259373576805212</v>
      </c>
      <c r="K602" s="480">
        <v>5300</v>
      </c>
      <c r="L602" s="481"/>
      <c r="M602" s="482"/>
      <c r="N602" s="483"/>
      <c r="O602" s="513"/>
      <c r="P602" s="514">
        <v>6316</v>
      </c>
      <c r="Q602" s="486">
        <v>1.52</v>
      </c>
      <c r="R602" s="485">
        <v>0.3</v>
      </c>
      <c r="S602" s="515">
        <v>2.2000000000000002</v>
      </c>
      <c r="T602" s="516">
        <v>38.1</v>
      </c>
      <c r="U602" s="490">
        <v>10</v>
      </c>
      <c r="V602" s="373"/>
      <c r="W602" s="391" t="s">
        <v>511</v>
      </c>
    </row>
    <row r="603" spans="1:23">
      <c r="A603" s="476" t="s">
        <v>1074</v>
      </c>
      <c r="B603" s="542">
        <v>41.4</v>
      </c>
      <c r="C603" s="543">
        <v>98</v>
      </c>
      <c r="D603" s="543">
        <v>12.2</v>
      </c>
      <c r="E603" s="544">
        <v>21.2</v>
      </c>
      <c r="F603" s="512"/>
      <c r="G603" s="480"/>
      <c r="H603" s="481">
        <v>10.313240312354818</v>
      </c>
      <c r="I603" s="482">
        <v>2500</v>
      </c>
      <c r="J603" s="483"/>
      <c r="K603" s="480"/>
      <c r="L603" s="481"/>
      <c r="M603" s="482"/>
      <c r="N603" s="483"/>
      <c r="O603" s="513"/>
      <c r="P603" s="514">
        <v>3237</v>
      </c>
      <c r="Q603" s="486">
        <v>1.52</v>
      </c>
      <c r="R603" s="485">
        <v>0.27</v>
      </c>
      <c r="S603" s="515">
        <v>1.6</v>
      </c>
      <c r="T603" s="516">
        <v>35.700000000000003</v>
      </c>
      <c r="U603" s="490">
        <v>10</v>
      </c>
      <c r="V603" s="373"/>
      <c r="W603" s="391" t="s">
        <v>511</v>
      </c>
    </row>
    <row r="604" spans="1:23">
      <c r="A604" s="476" t="s">
        <v>1075</v>
      </c>
      <c r="B604" s="542">
        <v>41.4</v>
      </c>
      <c r="C604" s="543">
        <v>98</v>
      </c>
      <c r="D604" s="543">
        <v>12.2</v>
      </c>
      <c r="E604" s="544">
        <v>21.2</v>
      </c>
      <c r="F604" s="512"/>
      <c r="G604" s="480"/>
      <c r="H604" s="481"/>
      <c r="I604" s="482"/>
      <c r="J604" s="483">
        <v>6.3605136185653901</v>
      </c>
      <c r="K604" s="480">
        <v>5600</v>
      </c>
      <c r="L604" s="481"/>
      <c r="M604" s="482"/>
      <c r="N604" s="483"/>
      <c r="O604" s="513"/>
      <c r="P604" s="514">
        <v>6756</v>
      </c>
      <c r="Q604" s="486">
        <v>1.52</v>
      </c>
      <c r="R604" s="485">
        <v>0.27</v>
      </c>
      <c r="S604" s="515">
        <v>1.6</v>
      </c>
      <c r="T604" s="516">
        <v>35.700000000000003</v>
      </c>
      <c r="U604" s="490">
        <v>10</v>
      </c>
      <c r="V604" s="373"/>
      <c r="W604" s="391" t="s">
        <v>511</v>
      </c>
    </row>
    <row r="605" spans="1:23">
      <c r="A605" s="476" t="s">
        <v>1076</v>
      </c>
      <c r="B605" s="542">
        <v>58.8</v>
      </c>
      <c r="C605" s="543">
        <v>22.5</v>
      </c>
      <c r="D605" s="543">
        <v>17.3</v>
      </c>
      <c r="E605" s="544">
        <v>4.97</v>
      </c>
      <c r="F605" s="512"/>
      <c r="G605" s="480"/>
      <c r="H605" s="481">
        <v>16.160348067792452</v>
      </c>
      <c r="I605" s="482">
        <v>325</v>
      </c>
      <c r="J605" s="483"/>
      <c r="K605" s="480"/>
      <c r="L605" s="481"/>
      <c r="M605" s="482"/>
      <c r="N605" s="483"/>
      <c r="O605" s="513"/>
      <c r="P605" s="514">
        <v>531</v>
      </c>
      <c r="Q605" s="486">
        <v>2.2799999999999998</v>
      </c>
      <c r="R605" s="485">
        <v>5.5</v>
      </c>
      <c r="S605" s="515">
        <v>44</v>
      </c>
      <c r="T605" s="516">
        <v>215</v>
      </c>
      <c r="U605" s="490">
        <v>10</v>
      </c>
      <c r="V605" s="373"/>
      <c r="W605" s="391" t="s">
        <v>511</v>
      </c>
    </row>
    <row r="606" spans="1:23">
      <c r="A606" s="476" t="s">
        <v>1077</v>
      </c>
      <c r="B606" s="542">
        <v>58.8</v>
      </c>
      <c r="C606" s="543">
        <v>22.5</v>
      </c>
      <c r="D606" s="543">
        <v>17.3</v>
      </c>
      <c r="E606" s="544">
        <v>4.97</v>
      </c>
      <c r="F606" s="512"/>
      <c r="G606" s="480"/>
      <c r="H606" s="481"/>
      <c r="I606" s="482"/>
      <c r="J606" s="483">
        <v>15.875705573416559</v>
      </c>
      <c r="K606" s="480">
        <v>800</v>
      </c>
      <c r="L606" s="481"/>
      <c r="M606" s="482"/>
      <c r="N606" s="483"/>
      <c r="O606" s="513"/>
      <c r="P606" s="514">
        <v>1114</v>
      </c>
      <c r="Q606" s="486">
        <v>2.2799999999999998</v>
      </c>
      <c r="R606" s="485">
        <v>5.5</v>
      </c>
      <c r="S606" s="515">
        <v>44</v>
      </c>
      <c r="T606" s="516">
        <v>215</v>
      </c>
      <c r="U606" s="490">
        <v>10</v>
      </c>
      <c r="V606" s="373"/>
      <c r="W606" s="391" t="s">
        <v>511</v>
      </c>
    </row>
    <row r="607" spans="1:23">
      <c r="A607" s="476" t="s">
        <v>1078</v>
      </c>
      <c r="B607" s="542">
        <v>58.8</v>
      </c>
      <c r="C607" s="543">
        <v>22.5</v>
      </c>
      <c r="D607" s="543">
        <v>17.3</v>
      </c>
      <c r="E607" s="544">
        <v>4.97</v>
      </c>
      <c r="F607" s="512"/>
      <c r="G607" s="480"/>
      <c r="H607" s="481"/>
      <c r="I607" s="482"/>
      <c r="J607" s="483"/>
      <c r="K607" s="480"/>
      <c r="L607" s="481">
        <v>15.311803145737517</v>
      </c>
      <c r="M607" s="482">
        <v>1450</v>
      </c>
      <c r="N607" s="483"/>
      <c r="O607" s="513"/>
      <c r="P607" s="514">
        <v>1863</v>
      </c>
      <c r="Q607" s="486">
        <v>2.2799999999999998</v>
      </c>
      <c r="R607" s="485">
        <v>5.5</v>
      </c>
      <c r="S607" s="515">
        <v>44</v>
      </c>
      <c r="T607" s="516">
        <v>215</v>
      </c>
      <c r="U607" s="490">
        <v>10</v>
      </c>
      <c r="V607" s="373"/>
      <c r="W607" s="391" t="s">
        <v>511</v>
      </c>
    </row>
    <row r="608" spans="1:23">
      <c r="A608" s="476" t="s">
        <v>1079</v>
      </c>
      <c r="B608" s="542">
        <v>58.8</v>
      </c>
      <c r="C608" s="543">
        <v>22.5</v>
      </c>
      <c r="D608" s="543">
        <v>17.3</v>
      </c>
      <c r="E608" s="544">
        <v>4.97</v>
      </c>
      <c r="F608" s="512"/>
      <c r="G608" s="480"/>
      <c r="H608" s="481"/>
      <c r="I608" s="482"/>
      <c r="J608" s="483"/>
      <c r="K608" s="480"/>
      <c r="L608" s="481"/>
      <c r="M608" s="482"/>
      <c r="N608" s="483">
        <v>15.006037491521562</v>
      </c>
      <c r="O608" s="513">
        <v>1750</v>
      </c>
      <c r="P608" s="514">
        <v>2235</v>
      </c>
      <c r="Q608" s="486">
        <v>2.2799999999999998</v>
      </c>
      <c r="R608" s="485">
        <v>5.5</v>
      </c>
      <c r="S608" s="515">
        <v>44</v>
      </c>
      <c r="T608" s="516">
        <v>215</v>
      </c>
      <c r="U608" s="490">
        <v>10</v>
      </c>
      <c r="V608" s="373"/>
      <c r="W608" s="391" t="s">
        <v>511</v>
      </c>
    </row>
    <row r="609" spans="1:23">
      <c r="A609" s="476" t="s">
        <v>1080</v>
      </c>
      <c r="B609" s="542">
        <v>58.8</v>
      </c>
      <c r="C609" s="543">
        <v>28</v>
      </c>
      <c r="D609" s="543">
        <v>17.600000000000001</v>
      </c>
      <c r="E609" s="544">
        <v>6.3</v>
      </c>
      <c r="F609" s="512"/>
      <c r="G609" s="480"/>
      <c r="H609" s="481">
        <v>16.472536610011169</v>
      </c>
      <c r="I609" s="482">
        <v>400</v>
      </c>
      <c r="J609" s="483"/>
      <c r="K609" s="480"/>
      <c r="L609" s="481"/>
      <c r="M609" s="482"/>
      <c r="N609" s="483"/>
      <c r="O609" s="513"/>
      <c r="P609" s="514">
        <v>661</v>
      </c>
      <c r="Q609" s="486">
        <v>2.2799999999999998</v>
      </c>
      <c r="R609" s="485">
        <v>3.43</v>
      </c>
      <c r="S609" s="515">
        <v>28</v>
      </c>
      <c r="T609" s="516">
        <v>174</v>
      </c>
      <c r="U609" s="490">
        <v>10</v>
      </c>
      <c r="V609" s="373"/>
      <c r="W609" s="391" t="s">
        <v>511</v>
      </c>
    </row>
    <row r="610" spans="1:23">
      <c r="A610" s="476" t="s">
        <v>1081</v>
      </c>
      <c r="B610" s="542">
        <v>58.8</v>
      </c>
      <c r="C610" s="543">
        <v>28</v>
      </c>
      <c r="D610" s="543">
        <v>17.600000000000001</v>
      </c>
      <c r="E610" s="544">
        <v>6.3</v>
      </c>
      <c r="F610" s="512"/>
      <c r="G610" s="480"/>
      <c r="H610" s="481"/>
      <c r="I610" s="482"/>
      <c r="J610" s="483">
        <v>16.083025828233634</v>
      </c>
      <c r="K610" s="480">
        <v>950</v>
      </c>
      <c r="L610" s="481"/>
      <c r="M610" s="482"/>
      <c r="N610" s="483"/>
      <c r="O610" s="513"/>
      <c r="P610" s="514">
        <v>1386</v>
      </c>
      <c r="Q610" s="486">
        <v>2.2799999999999998</v>
      </c>
      <c r="R610" s="485">
        <v>3.43</v>
      </c>
      <c r="S610" s="515">
        <v>28</v>
      </c>
      <c r="T610" s="516">
        <v>174</v>
      </c>
      <c r="U610" s="490">
        <v>10</v>
      </c>
      <c r="V610" s="373"/>
      <c r="W610" s="391" t="s">
        <v>511</v>
      </c>
    </row>
    <row r="611" spans="1:23">
      <c r="A611" s="476" t="s">
        <v>1082</v>
      </c>
      <c r="B611" s="542">
        <v>58.8</v>
      </c>
      <c r="C611" s="543">
        <v>28</v>
      </c>
      <c r="D611" s="543">
        <v>17.600000000000001</v>
      </c>
      <c r="E611" s="544">
        <v>6.3</v>
      </c>
      <c r="F611" s="512"/>
      <c r="G611" s="480"/>
      <c r="H611" s="481"/>
      <c r="I611" s="482"/>
      <c r="J611" s="483"/>
      <c r="K611" s="480"/>
      <c r="L611" s="481">
        <v>15.305400360670603</v>
      </c>
      <c r="M611" s="482">
        <v>1800</v>
      </c>
      <c r="N611" s="483"/>
      <c r="O611" s="513"/>
      <c r="P611" s="514">
        <v>2313</v>
      </c>
      <c r="Q611" s="486">
        <v>2.2799999999999998</v>
      </c>
      <c r="R611" s="485">
        <v>3.43</v>
      </c>
      <c r="S611" s="515">
        <v>28</v>
      </c>
      <c r="T611" s="516">
        <v>174</v>
      </c>
      <c r="U611" s="490">
        <v>10</v>
      </c>
      <c r="V611" s="373"/>
      <c r="W611" s="391" t="s">
        <v>511</v>
      </c>
    </row>
    <row r="612" spans="1:23">
      <c r="A612" s="476" t="s">
        <v>1083</v>
      </c>
      <c r="B612" s="542">
        <v>58.8</v>
      </c>
      <c r="C612" s="543">
        <v>28</v>
      </c>
      <c r="D612" s="543">
        <v>17.600000000000001</v>
      </c>
      <c r="E612" s="544">
        <v>6.3</v>
      </c>
      <c r="F612" s="512"/>
      <c r="G612" s="480"/>
      <c r="H612" s="481"/>
      <c r="I612" s="482"/>
      <c r="J612" s="483"/>
      <c r="K612" s="480"/>
      <c r="L612" s="481"/>
      <c r="M612" s="482"/>
      <c r="N612" s="483">
        <v>14.823112654331526</v>
      </c>
      <c r="O612" s="513">
        <v>2200</v>
      </c>
      <c r="P612" s="514">
        <v>2776</v>
      </c>
      <c r="Q612" s="486">
        <v>2.2799999999999998</v>
      </c>
      <c r="R612" s="485">
        <v>3.43</v>
      </c>
      <c r="S612" s="515">
        <v>28</v>
      </c>
      <c r="T612" s="516">
        <v>174</v>
      </c>
      <c r="U612" s="490">
        <v>10</v>
      </c>
      <c r="V612" s="373"/>
      <c r="W612" s="391" t="s">
        <v>511</v>
      </c>
    </row>
    <row r="613" spans="1:23">
      <c r="A613" s="476" t="s">
        <v>1084</v>
      </c>
      <c r="B613" s="542">
        <v>59.2</v>
      </c>
      <c r="C613" s="543">
        <v>39.200000000000003</v>
      </c>
      <c r="D613" s="543">
        <v>17.5</v>
      </c>
      <c r="E613" s="544">
        <v>8.6999999999999993</v>
      </c>
      <c r="F613" s="512"/>
      <c r="G613" s="480"/>
      <c r="H613" s="481">
        <v>16.119212636347161</v>
      </c>
      <c r="I613" s="482">
        <v>625</v>
      </c>
      <c r="J613" s="483"/>
      <c r="K613" s="480"/>
      <c r="L613" s="481"/>
      <c r="M613" s="482"/>
      <c r="N613" s="483"/>
      <c r="O613" s="513"/>
      <c r="P613" s="514">
        <v>923</v>
      </c>
      <c r="Q613" s="486">
        <v>2.2799999999999998</v>
      </c>
      <c r="R613" s="485">
        <v>1.8</v>
      </c>
      <c r="S613" s="515">
        <v>14.6</v>
      </c>
      <c r="T613" s="516">
        <v>124</v>
      </c>
      <c r="U613" s="490">
        <v>10</v>
      </c>
      <c r="V613" s="373"/>
      <c r="W613" s="391" t="s">
        <v>511</v>
      </c>
    </row>
    <row r="614" spans="1:23">
      <c r="A614" s="476" t="s">
        <v>1085</v>
      </c>
      <c r="B614" s="542">
        <v>59.2</v>
      </c>
      <c r="C614" s="543">
        <v>39.200000000000003</v>
      </c>
      <c r="D614" s="543">
        <v>17.5</v>
      </c>
      <c r="E614" s="544">
        <v>8.6999999999999993</v>
      </c>
      <c r="F614" s="512"/>
      <c r="G614" s="480"/>
      <c r="H614" s="481"/>
      <c r="I614" s="482"/>
      <c r="J614" s="483">
        <v>15.48350232079725</v>
      </c>
      <c r="K614" s="480">
        <v>1400</v>
      </c>
      <c r="L614" s="481"/>
      <c r="M614" s="482"/>
      <c r="N614" s="483"/>
      <c r="O614" s="513"/>
      <c r="P614" s="514">
        <v>1935</v>
      </c>
      <c r="Q614" s="486">
        <v>2.2799999999999998</v>
      </c>
      <c r="R614" s="485">
        <v>1.8</v>
      </c>
      <c r="S614" s="515">
        <v>14.6</v>
      </c>
      <c r="T614" s="516">
        <v>124</v>
      </c>
      <c r="U614" s="490">
        <v>10</v>
      </c>
      <c r="V614" s="373"/>
      <c r="W614" s="391" t="s">
        <v>511</v>
      </c>
    </row>
    <row r="615" spans="1:23">
      <c r="A615" s="476" t="s">
        <v>1086</v>
      </c>
      <c r="B615" s="542">
        <v>59.2</v>
      </c>
      <c r="C615" s="543">
        <v>39.200000000000003</v>
      </c>
      <c r="D615" s="543">
        <v>17.5</v>
      </c>
      <c r="E615" s="544">
        <v>8.6999999999999993</v>
      </c>
      <c r="F615" s="512"/>
      <c r="G615" s="480"/>
      <c r="H615" s="481"/>
      <c r="I615" s="482"/>
      <c r="J615" s="483"/>
      <c r="K615" s="480"/>
      <c r="L615" s="481">
        <v>14.155427879702691</v>
      </c>
      <c r="M615" s="482">
        <v>2550</v>
      </c>
      <c r="N615" s="483"/>
      <c r="O615" s="513"/>
      <c r="P615" s="514">
        <v>3224</v>
      </c>
      <c r="Q615" s="486">
        <v>2.2799999999999998</v>
      </c>
      <c r="R615" s="485">
        <v>1.8</v>
      </c>
      <c r="S615" s="515">
        <v>14.6</v>
      </c>
      <c r="T615" s="516">
        <v>124</v>
      </c>
      <c r="U615" s="490">
        <v>10</v>
      </c>
      <c r="V615" s="373"/>
      <c r="W615" s="391" t="s">
        <v>511</v>
      </c>
    </row>
    <row r="616" spans="1:23">
      <c r="A616" s="476" t="s">
        <v>1087</v>
      </c>
      <c r="B616" s="542">
        <v>59.2</v>
      </c>
      <c r="C616" s="543">
        <v>39.200000000000003</v>
      </c>
      <c r="D616" s="543">
        <v>17.5</v>
      </c>
      <c r="E616" s="544">
        <v>8.6999999999999993</v>
      </c>
      <c r="F616" s="512"/>
      <c r="G616" s="480"/>
      <c r="H616" s="481"/>
      <c r="I616" s="482"/>
      <c r="J616" s="483"/>
      <c r="K616" s="480"/>
      <c r="L616" s="481"/>
      <c r="M616" s="482"/>
      <c r="N616" s="483">
        <v>13.100441253251635</v>
      </c>
      <c r="O616" s="513">
        <v>3200</v>
      </c>
      <c r="P616" s="514">
        <v>3869</v>
      </c>
      <c r="Q616" s="486">
        <v>2.2799999999999998</v>
      </c>
      <c r="R616" s="485">
        <v>1.8</v>
      </c>
      <c r="S616" s="515">
        <v>14.6</v>
      </c>
      <c r="T616" s="516">
        <v>124</v>
      </c>
      <c r="U616" s="490">
        <v>10</v>
      </c>
      <c r="V616" s="373"/>
      <c r="W616" s="391" t="s">
        <v>511</v>
      </c>
    </row>
    <row r="617" spans="1:23">
      <c r="A617" s="476" t="s">
        <v>1088</v>
      </c>
      <c r="B617" s="542">
        <v>59.4</v>
      </c>
      <c r="C617" s="543">
        <v>49.5</v>
      </c>
      <c r="D617" s="543">
        <v>17.45</v>
      </c>
      <c r="E617" s="544">
        <v>10.92</v>
      </c>
      <c r="F617" s="512"/>
      <c r="G617" s="480"/>
      <c r="H617" s="481">
        <v>15.952942531093511</v>
      </c>
      <c r="I617" s="482">
        <v>850</v>
      </c>
      <c r="J617" s="483"/>
      <c r="K617" s="480"/>
      <c r="L617" s="481"/>
      <c r="M617" s="482"/>
      <c r="N617" s="483"/>
      <c r="O617" s="513"/>
      <c r="P617" s="514">
        <v>1165</v>
      </c>
      <c r="Q617" s="486">
        <v>2.2799999999999998</v>
      </c>
      <c r="R617" s="485">
        <v>1.1399999999999999</v>
      </c>
      <c r="S617" s="515">
        <v>9.3000000000000007</v>
      </c>
      <c r="T617" s="516">
        <v>99</v>
      </c>
      <c r="U617" s="490">
        <v>10</v>
      </c>
      <c r="V617" s="373"/>
      <c r="W617" s="391" t="s">
        <v>511</v>
      </c>
    </row>
    <row r="618" spans="1:23">
      <c r="A618" s="476" t="s">
        <v>1089</v>
      </c>
      <c r="B618" s="542">
        <v>59.4</v>
      </c>
      <c r="C618" s="543">
        <v>49.5</v>
      </c>
      <c r="D618" s="543">
        <v>17.45</v>
      </c>
      <c r="E618" s="544">
        <v>10.92</v>
      </c>
      <c r="F618" s="512"/>
      <c r="G618" s="480"/>
      <c r="H618" s="481"/>
      <c r="I618" s="482"/>
      <c r="J618" s="483">
        <v>15.020785439916175</v>
      </c>
      <c r="K618" s="480">
        <v>1850</v>
      </c>
      <c r="L618" s="481"/>
      <c r="M618" s="482"/>
      <c r="N618" s="483"/>
      <c r="O618" s="513"/>
      <c r="P618" s="514">
        <v>2437</v>
      </c>
      <c r="Q618" s="486">
        <v>2.2799999999999998</v>
      </c>
      <c r="R618" s="485">
        <v>1.1399999999999999</v>
      </c>
      <c r="S618" s="515">
        <v>9.3000000000000007</v>
      </c>
      <c r="T618" s="516">
        <v>99</v>
      </c>
      <c r="U618" s="490">
        <v>10</v>
      </c>
      <c r="V618" s="373"/>
      <c r="W618" s="391" t="s">
        <v>511</v>
      </c>
    </row>
    <row r="619" spans="1:23">
      <c r="A619" s="476" t="s">
        <v>1090</v>
      </c>
      <c r="B619" s="542">
        <v>59.4</v>
      </c>
      <c r="C619" s="543">
        <v>49.5</v>
      </c>
      <c r="D619" s="543">
        <v>17.45</v>
      </c>
      <c r="E619" s="544">
        <v>10.92</v>
      </c>
      <c r="F619" s="512"/>
      <c r="G619" s="480"/>
      <c r="H619" s="481"/>
      <c r="I619" s="482"/>
      <c r="J619" s="483"/>
      <c r="K619" s="480"/>
      <c r="L619" s="481">
        <v>12.441369265697876</v>
      </c>
      <c r="M619" s="482">
        <v>3500</v>
      </c>
      <c r="N619" s="483"/>
      <c r="O619" s="513"/>
      <c r="P619" s="514">
        <v>4061</v>
      </c>
      <c r="Q619" s="486">
        <v>2.2799999999999998</v>
      </c>
      <c r="R619" s="485">
        <v>1.1399999999999999</v>
      </c>
      <c r="S619" s="515">
        <v>9.3000000000000007</v>
      </c>
      <c r="T619" s="516">
        <v>99</v>
      </c>
      <c r="U619" s="490">
        <v>10</v>
      </c>
      <c r="V619" s="373"/>
      <c r="W619" s="391" t="s">
        <v>511</v>
      </c>
    </row>
    <row r="620" spans="1:23">
      <c r="A620" s="476" t="s">
        <v>1091</v>
      </c>
      <c r="B620" s="542">
        <v>59.4</v>
      </c>
      <c r="C620" s="543">
        <v>49.5</v>
      </c>
      <c r="D620" s="543">
        <v>17.45</v>
      </c>
      <c r="E620" s="544">
        <v>10.92</v>
      </c>
      <c r="F620" s="512"/>
      <c r="G620" s="480"/>
      <c r="H620" s="481"/>
      <c r="I620" s="482"/>
      <c r="J620" s="483"/>
      <c r="K620" s="480"/>
      <c r="L620" s="481"/>
      <c r="M620" s="482"/>
      <c r="N620" s="483">
        <v>10.548641577020971</v>
      </c>
      <c r="O620" s="513">
        <v>4300</v>
      </c>
      <c r="P620" s="514">
        <v>4873</v>
      </c>
      <c r="Q620" s="486">
        <v>2.2799999999999998</v>
      </c>
      <c r="R620" s="485">
        <v>1.1399999999999999</v>
      </c>
      <c r="S620" s="515">
        <v>9.3000000000000007</v>
      </c>
      <c r="T620" s="516">
        <v>99</v>
      </c>
      <c r="U620" s="490">
        <v>10</v>
      </c>
      <c r="V620" s="373"/>
      <c r="W620" s="391" t="s">
        <v>511</v>
      </c>
    </row>
    <row r="621" spans="1:23">
      <c r="A621" s="476" t="s">
        <v>1092</v>
      </c>
      <c r="B621" s="542">
        <v>59.4</v>
      </c>
      <c r="C621" s="543">
        <v>55.4</v>
      </c>
      <c r="D621" s="543">
        <v>17.100000000000001</v>
      </c>
      <c r="E621" s="544">
        <v>12</v>
      </c>
      <c r="F621" s="512"/>
      <c r="G621" s="480"/>
      <c r="H621" s="481">
        <v>15.580431271101332</v>
      </c>
      <c r="I621" s="482">
        <v>950</v>
      </c>
      <c r="J621" s="483"/>
      <c r="K621" s="480"/>
      <c r="L621" s="481"/>
      <c r="M621" s="482"/>
      <c r="N621" s="483"/>
      <c r="O621" s="513"/>
      <c r="P621" s="514">
        <v>1305</v>
      </c>
      <c r="Q621" s="486">
        <v>2.2799999999999998</v>
      </c>
      <c r="R621" s="485">
        <v>0.94</v>
      </c>
      <c r="S621" s="515">
        <v>7.4</v>
      </c>
      <c r="T621" s="516">
        <v>88.4</v>
      </c>
      <c r="U621" s="490">
        <v>10</v>
      </c>
      <c r="V621" s="373"/>
      <c r="W621" s="391" t="s">
        <v>511</v>
      </c>
    </row>
    <row r="622" spans="1:23">
      <c r="A622" s="476" t="s">
        <v>1093</v>
      </c>
      <c r="B622" s="542">
        <v>59.4</v>
      </c>
      <c r="C622" s="543">
        <v>55.4</v>
      </c>
      <c r="D622" s="543">
        <v>17.100000000000001</v>
      </c>
      <c r="E622" s="544">
        <v>12</v>
      </c>
      <c r="F622" s="512"/>
      <c r="G622" s="480"/>
      <c r="H622" s="481"/>
      <c r="I622" s="482"/>
      <c r="J622" s="483">
        <v>14.533563583806249</v>
      </c>
      <c r="K622" s="480">
        <v>2050</v>
      </c>
      <c r="L622" s="481"/>
      <c r="M622" s="482"/>
      <c r="N622" s="483"/>
      <c r="O622" s="513"/>
      <c r="P622" s="514">
        <v>2728</v>
      </c>
      <c r="Q622" s="486">
        <v>2.2799999999999998</v>
      </c>
      <c r="R622" s="485">
        <v>0.94</v>
      </c>
      <c r="S622" s="515">
        <v>7.4</v>
      </c>
      <c r="T622" s="516">
        <v>88.4</v>
      </c>
      <c r="U622" s="490">
        <v>10</v>
      </c>
      <c r="V622" s="373"/>
      <c r="W622" s="391" t="s">
        <v>511</v>
      </c>
    </row>
    <row r="623" spans="1:23">
      <c r="A623" s="476" t="s">
        <v>1094</v>
      </c>
      <c r="B623" s="542">
        <v>59.4</v>
      </c>
      <c r="C623" s="543">
        <v>55.4</v>
      </c>
      <c r="D623" s="543">
        <v>17.100000000000001</v>
      </c>
      <c r="E623" s="544">
        <v>12</v>
      </c>
      <c r="F623" s="512"/>
      <c r="G623" s="480"/>
      <c r="H623" s="481"/>
      <c r="I623" s="482"/>
      <c r="J623" s="483"/>
      <c r="K623" s="480"/>
      <c r="L623" s="481">
        <v>11.496360954248335</v>
      </c>
      <c r="M623" s="482">
        <v>3850</v>
      </c>
      <c r="N623" s="483"/>
      <c r="O623" s="513"/>
      <c r="P623" s="514">
        <v>4547</v>
      </c>
      <c r="Q623" s="486">
        <v>2.2799999999999998</v>
      </c>
      <c r="R623" s="485">
        <v>0.94</v>
      </c>
      <c r="S623" s="515">
        <v>7.4</v>
      </c>
      <c r="T623" s="516">
        <v>88.4</v>
      </c>
      <c r="U623" s="490">
        <v>10</v>
      </c>
      <c r="V623" s="373"/>
      <c r="W623" s="391" t="s">
        <v>511</v>
      </c>
    </row>
    <row r="624" spans="1:23">
      <c r="A624" s="476" t="s">
        <v>1095</v>
      </c>
      <c r="B624" s="542">
        <v>59.4</v>
      </c>
      <c r="C624" s="543">
        <v>55.4</v>
      </c>
      <c r="D624" s="543">
        <v>17.100000000000001</v>
      </c>
      <c r="E624" s="544">
        <v>12</v>
      </c>
      <c r="F624" s="512"/>
      <c r="G624" s="480"/>
      <c r="H624" s="481"/>
      <c r="I624" s="482"/>
      <c r="J624" s="483"/>
      <c r="K624" s="480"/>
      <c r="L624" s="481"/>
      <c r="M624" s="482"/>
      <c r="N624" s="483">
        <v>9.1226258870120436</v>
      </c>
      <c r="O624" s="513">
        <v>4700</v>
      </c>
      <c r="P624" s="514">
        <v>5457</v>
      </c>
      <c r="Q624" s="486">
        <v>2.2799999999999998</v>
      </c>
      <c r="R624" s="485">
        <v>0.94</v>
      </c>
      <c r="S624" s="515">
        <v>7.4</v>
      </c>
      <c r="T624" s="516">
        <v>88.4</v>
      </c>
      <c r="U624" s="490">
        <v>10</v>
      </c>
      <c r="V624" s="373"/>
      <c r="W624" s="391" t="s">
        <v>511</v>
      </c>
    </row>
    <row r="625" spans="1:23">
      <c r="A625" s="476" t="s">
        <v>1096</v>
      </c>
      <c r="B625" s="542">
        <v>59.4</v>
      </c>
      <c r="C625" s="543">
        <v>69</v>
      </c>
      <c r="D625" s="543">
        <v>17.3</v>
      </c>
      <c r="E625" s="544">
        <v>14.92</v>
      </c>
      <c r="F625" s="512"/>
      <c r="G625" s="480"/>
      <c r="H625" s="481">
        <v>15.597184423005743</v>
      </c>
      <c r="I625" s="482">
        <v>1200</v>
      </c>
      <c r="J625" s="483"/>
      <c r="K625" s="480"/>
      <c r="L625" s="481"/>
      <c r="M625" s="482"/>
      <c r="N625" s="483"/>
      <c r="O625" s="513"/>
      <c r="P625" s="514">
        <v>1607</v>
      </c>
      <c r="Q625" s="486">
        <v>2.2799999999999998</v>
      </c>
      <c r="R625" s="485">
        <v>0.61</v>
      </c>
      <c r="S625" s="515">
        <v>4.9000000000000004</v>
      </c>
      <c r="T625" s="516">
        <v>72.099999999999994</v>
      </c>
      <c r="U625" s="490">
        <v>10</v>
      </c>
      <c r="V625" s="373"/>
      <c r="W625" s="391" t="s">
        <v>511</v>
      </c>
    </row>
    <row r="626" spans="1:23">
      <c r="A626" s="476" t="s">
        <v>1097</v>
      </c>
      <c r="B626" s="542">
        <v>59.4</v>
      </c>
      <c r="C626" s="543">
        <v>69</v>
      </c>
      <c r="D626" s="543">
        <v>17.3</v>
      </c>
      <c r="E626" s="544">
        <v>14.92</v>
      </c>
      <c r="F626" s="512"/>
      <c r="G626" s="480"/>
      <c r="H626" s="481"/>
      <c r="I626" s="482"/>
      <c r="J626" s="483">
        <v>13.873506360085971</v>
      </c>
      <c r="K626" s="480">
        <v>2650</v>
      </c>
      <c r="L626" s="481"/>
      <c r="M626" s="482"/>
      <c r="N626" s="483"/>
      <c r="O626" s="513"/>
      <c r="P626" s="514">
        <v>3356</v>
      </c>
      <c r="Q626" s="486">
        <v>2.2799999999999998</v>
      </c>
      <c r="R626" s="485">
        <v>0.61</v>
      </c>
      <c r="S626" s="515">
        <v>4.9000000000000004</v>
      </c>
      <c r="T626" s="516">
        <v>72.099999999999994</v>
      </c>
      <c r="U626" s="490">
        <v>10</v>
      </c>
      <c r="V626" s="373"/>
      <c r="W626" s="391" t="s">
        <v>511</v>
      </c>
    </row>
    <row r="627" spans="1:23">
      <c r="A627" s="476" t="s">
        <v>1098</v>
      </c>
      <c r="B627" s="542">
        <v>59.4</v>
      </c>
      <c r="C627" s="543">
        <v>69</v>
      </c>
      <c r="D627" s="543">
        <v>17.3</v>
      </c>
      <c r="E627" s="544">
        <v>14.92</v>
      </c>
      <c r="F627" s="512"/>
      <c r="G627" s="480"/>
      <c r="H627" s="481"/>
      <c r="I627" s="482"/>
      <c r="J627" s="483"/>
      <c r="K627" s="480"/>
      <c r="L627" s="481">
        <v>7.6956096012669395</v>
      </c>
      <c r="M627" s="482">
        <v>5100</v>
      </c>
      <c r="N627" s="483"/>
      <c r="O627" s="513"/>
      <c r="P627" s="514">
        <v>5593</v>
      </c>
      <c r="Q627" s="486">
        <v>2.2799999999999998</v>
      </c>
      <c r="R627" s="485">
        <v>0.61</v>
      </c>
      <c r="S627" s="515">
        <v>4.9000000000000004</v>
      </c>
      <c r="T627" s="516">
        <v>72.099999999999994</v>
      </c>
      <c r="U627" s="490">
        <v>10</v>
      </c>
      <c r="V627" s="373"/>
      <c r="W627" s="391" t="s">
        <v>511</v>
      </c>
    </row>
    <row r="628" spans="1:23">
      <c r="A628" s="476" t="s">
        <v>1099</v>
      </c>
      <c r="B628" s="542">
        <v>59.4</v>
      </c>
      <c r="C628" s="543">
        <v>69</v>
      </c>
      <c r="D628" s="543">
        <v>17.3</v>
      </c>
      <c r="E628" s="544">
        <v>14.92</v>
      </c>
      <c r="F628" s="512"/>
      <c r="G628" s="480"/>
      <c r="H628" s="481"/>
      <c r="I628" s="482"/>
      <c r="J628" s="483"/>
      <c r="K628" s="480"/>
      <c r="L628" s="481"/>
      <c r="M628" s="482"/>
      <c r="N628" s="483">
        <v>6.2689363695640994</v>
      </c>
      <c r="O628" s="513">
        <v>5400</v>
      </c>
      <c r="P628" s="514">
        <v>6711</v>
      </c>
      <c r="Q628" s="486">
        <v>2.2799999999999998</v>
      </c>
      <c r="R628" s="485">
        <v>0.61</v>
      </c>
      <c r="S628" s="515">
        <v>4.9000000000000004</v>
      </c>
      <c r="T628" s="516">
        <v>72.099999999999994</v>
      </c>
      <c r="U628" s="490">
        <v>10</v>
      </c>
      <c r="V628" s="373"/>
      <c r="W628" s="391" t="s">
        <v>511</v>
      </c>
    </row>
    <row r="629" spans="1:23">
      <c r="A629" s="476" t="s">
        <v>1100</v>
      </c>
      <c r="B629" s="542">
        <v>59.4</v>
      </c>
      <c r="C629" s="543">
        <v>86.5</v>
      </c>
      <c r="D629" s="543">
        <v>17.100000000000001</v>
      </c>
      <c r="E629" s="544">
        <v>18.64</v>
      </c>
      <c r="F629" s="512"/>
      <c r="G629" s="480"/>
      <c r="H629" s="481">
        <v>15.094049441618461</v>
      </c>
      <c r="I629" s="482">
        <v>1550</v>
      </c>
      <c r="J629" s="483"/>
      <c r="K629" s="480"/>
      <c r="L629" s="481"/>
      <c r="M629" s="482"/>
      <c r="N629" s="483"/>
      <c r="O629" s="513"/>
      <c r="P629" s="514">
        <v>2032</v>
      </c>
      <c r="Q629" s="486">
        <v>2.2799999999999998</v>
      </c>
      <c r="R629" s="485">
        <v>0.39</v>
      </c>
      <c r="S629" s="515">
        <v>3.1</v>
      </c>
      <c r="T629" s="516">
        <v>57</v>
      </c>
      <c r="U629" s="490">
        <v>10</v>
      </c>
      <c r="V629" s="373"/>
      <c r="W629" s="391" t="s">
        <v>511</v>
      </c>
    </row>
    <row r="630" spans="1:23">
      <c r="A630" s="476" t="s">
        <v>1101</v>
      </c>
      <c r="B630" s="542">
        <v>59.4</v>
      </c>
      <c r="C630" s="543">
        <v>86.5</v>
      </c>
      <c r="D630" s="543">
        <v>17.100000000000001</v>
      </c>
      <c r="E630" s="544">
        <v>18.64</v>
      </c>
      <c r="F630" s="512"/>
      <c r="G630" s="480"/>
      <c r="H630" s="481"/>
      <c r="I630" s="482"/>
      <c r="J630" s="483">
        <v>12.44217172759582</v>
      </c>
      <c r="K630" s="480">
        <v>3400</v>
      </c>
      <c r="L630" s="481"/>
      <c r="M630" s="482"/>
      <c r="N630" s="483"/>
      <c r="O630" s="513"/>
      <c r="P630" s="514">
        <v>4241</v>
      </c>
      <c r="Q630" s="486">
        <v>2.2799999999999998</v>
      </c>
      <c r="R630" s="485">
        <v>0.39</v>
      </c>
      <c r="S630" s="515">
        <v>3.1</v>
      </c>
      <c r="T630" s="516">
        <v>57</v>
      </c>
      <c r="U630" s="490">
        <v>10</v>
      </c>
      <c r="V630" s="373"/>
      <c r="W630" s="391" t="s">
        <v>511</v>
      </c>
    </row>
    <row r="631" spans="1:23">
      <c r="A631" s="476" t="s">
        <v>1102</v>
      </c>
      <c r="B631" s="542">
        <v>59.4</v>
      </c>
      <c r="C631" s="543">
        <v>86.5</v>
      </c>
      <c r="D631" s="543">
        <v>17.100000000000001</v>
      </c>
      <c r="E631" s="544">
        <v>18.64</v>
      </c>
      <c r="F631" s="512"/>
      <c r="G631" s="480"/>
      <c r="H631" s="481"/>
      <c r="I631" s="482"/>
      <c r="J631" s="483"/>
      <c r="K631" s="480"/>
      <c r="L631" s="481">
        <v>3.6056826762543186</v>
      </c>
      <c r="M631" s="482">
        <v>5800</v>
      </c>
      <c r="N631" s="483"/>
      <c r="O631" s="513"/>
      <c r="P631" s="514">
        <v>7068</v>
      </c>
      <c r="Q631" s="486">
        <v>2.2799999999999998</v>
      </c>
      <c r="R631" s="485">
        <v>0.39</v>
      </c>
      <c r="S631" s="515">
        <v>3.1</v>
      </c>
      <c r="T631" s="516">
        <v>57</v>
      </c>
      <c r="U631" s="490">
        <v>10</v>
      </c>
      <c r="V631" s="373"/>
      <c r="W631" s="391" t="s">
        <v>511</v>
      </c>
    </row>
    <row r="632" spans="1:23">
      <c r="A632" s="476" t="s">
        <v>1103</v>
      </c>
      <c r="B632" s="542">
        <v>76.099999999999994</v>
      </c>
      <c r="C632" s="543">
        <v>46.1</v>
      </c>
      <c r="D632" s="543">
        <v>21.8</v>
      </c>
      <c r="E632" s="544">
        <v>10.199999999999999</v>
      </c>
      <c r="F632" s="512"/>
      <c r="G632" s="480"/>
      <c r="H632" s="481">
        <v>20.567715722644937</v>
      </c>
      <c r="I632" s="482">
        <v>650</v>
      </c>
      <c r="J632" s="483"/>
      <c r="K632" s="480"/>
      <c r="L632" s="481"/>
      <c r="M632" s="482"/>
      <c r="N632" s="483"/>
      <c r="O632" s="513"/>
      <c r="P632" s="514">
        <v>867</v>
      </c>
      <c r="Q632" s="486">
        <v>3.04</v>
      </c>
      <c r="R632" s="485">
        <v>1.41</v>
      </c>
      <c r="S632" s="515">
        <v>12</v>
      </c>
      <c r="T632" s="516">
        <v>132</v>
      </c>
      <c r="U632" s="490">
        <v>10</v>
      </c>
      <c r="V632" s="373"/>
      <c r="W632" s="391" t="s">
        <v>511</v>
      </c>
    </row>
    <row r="633" spans="1:23">
      <c r="A633" s="476" t="s">
        <v>1104</v>
      </c>
      <c r="B633" s="542">
        <v>76.099999999999994</v>
      </c>
      <c r="C633" s="543">
        <v>46.1</v>
      </c>
      <c r="D633" s="543">
        <v>21.8</v>
      </c>
      <c r="E633" s="544">
        <v>10.199999999999999</v>
      </c>
      <c r="F633" s="512"/>
      <c r="G633" s="480"/>
      <c r="H633" s="481"/>
      <c r="I633" s="482"/>
      <c r="J633" s="483">
        <v>19.644267261628229</v>
      </c>
      <c r="K633" s="480">
        <v>1400</v>
      </c>
      <c r="L633" s="481"/>
      <c r="M633" s="482"/>
      <c r="N633" s="483"/>
      <c r="O633" s="513"/>
      <c r="P633" s="514">
        <v>1818</v>
      </c>
      <c r="Q633" s="486">
        <v>3.04</v>
      </c>
      <c r="R633" s="485">
        <v>1.41</v>
      </c>
      <c r="S633" s="515">
        <v>12</v>
      </c>
      <c r="T633" s="516">
        <v>132</v>
      </c>
      <c r="U633" s="490">
        <v>10</v>
      </c>
      <c r="V633" s="373"/>
      <c r="W633" s="391" t="s">
        <v>511</v>
      </c>
    </row>
    <row r="634" spans="1:23">
      <c r="A634" s="476" t="s">
        <v>1105</v>
      </c>
      <c r="B634" s="542">
        <v>76.099999999999994</v>
      </c>
      <c r="C634" s="543">
        <v>46.1</v>
      </c>
      <c r="D634" s="543">
        <v>21.8</v>
      </c>
      <c r="E634" s="544">
        <v>10.199999999999999</v>
      </c>
      <c r="F634" s="512"/>
      <c r="G634" s="480"/>
      <c r="H634" s="481"/>
      <c r="I634" s="482"/>
      <c r="J634" s="483"/>
      <c r="K634" s="480"/>
      <c r="L634" s="481">
        <v>17.188733853924695</v>
      </c>
      <c r="M634" s="482">
        <v>2550</v>
      </c>
      <c r="N634" s="483"/>
      <c r="O634" s="513"/>
      <c r="P634" s="514">
        <v>3029</v>
      </c>
      <c r="Q634" s="486">
        <v>3.04</v>
      </c>
      <c r="R634" s="485">
        <v>1.41</v>
      </c>
      <c r="S634" s="515">
        <v>12</v>
      </c>
      <c r="T634" s="516">
        <v>132</v>
      </c>
      <c r="U634" s="490">
        <v>10</v>
      </c>
      <c r="V634" s="373"/>
      <c r="W634" s="391" t="s">
        <v>511</v>
      </c>
    </row>
    <row r="635" spans="1:23">
      <c r="A635" s="476" t="s">
        <v>1106</v>
      </c>
      <c r="B635" s="542">
        <v>76.099999999999994</v>
      </c>
      <c r="C635" s="543">
        <v>46.1</v>
      </c>
      <c r="D635" s="543">
        <v>21.8</v>
      </c>
      <c r="E635" s="544">
        <v>10.199999999999999</v>
      </c>
      <c r="F635" s="512"/>
      <c r="G635" s="480"/>
      <c r="H635" s="481"/>
      <c r="I635" s="482"/>
      <c r="J635" s="483"/>
      <c r="K635" s="480"/>
      <c r="L635" s="481"/>
      <c r="M635" s="482"/>
      <c r="N635" s="483">
        <v>15.586916362161105</v>
      </c>
      <c r="O635" s="513">
        <v>3100</v>
      </c>
      <c r="P635" s="514">
        <v>3635</v>
      </c>
      <c r="Q635" s="486">
        <v>3.04</v>
      </c>
      <c r="R635" s="485">
        <v>1.41</v>
      </c>
      <c r="S635" s="515">
        <v>12</v>
      </c>
      <c r="T635" s="516">
        <v>132</v>
      </c>
      <c r="U635" s="490">
        <v>10</v>
      </c>
      <c r="V635" s="373"/>
      <c r="W635" s="391" t="s">
        <v>511</v>
      </c>
    </row>
    <row r="636" spans="1:23">
      <c r="A636" s="476" t="s">
        <v>1107</v>
      </c>
      <c r="B636" s="542">
        <v>76.599999999999994</v>
      </c>
      <c r="C636" s="543">
        <v>64</v>
      </c>
      <c r="D636" s="543">
        <v>21.7</v>
      </c>
      <c r="E636" s="544">
        <v>14</v>
      </c>
      <c r="F636" s="512"/>
      <c r="G636" s="480"/>
      <c r="H636" s="481">
        <v>19.629109648000426</v>
      </c>
      <c r="I636" s="482">
        <v>900</v>
      </c>
      <c r="J636" s="483"/>
      <c r="K636" s="480"/>
      <c r="L636" s="481"/>
      <c r="M636" s="482"/>
      <c r="N636" s="483"/>
      <c r="O636" s="513"/>
      <c r="P636" s="514">
        <v>1197</v>
      </c>
      <c r="Q636" s="486">
        <v>3.04</v>
      </c>
      <c r="R636" s="485">
        <v>0.75</v>
      </c>
      <c r="S636" s="515">
        <v>6.2</v>
      </c>
      <c r="T636" s="516">
        <v>96.2</v>
      </c>
      <c r="U636" s="490">
        <v>10</v>
      </c>
      <c r="V636" s="373"/>
      <c r="W636" s="391" t="s">
        <v>511</v>
      </c>
    </row>
    <row r="637" spans="1:23">
      <c r="A637" s="476" t="s">
        <v>1108</v>
      </c>
      <c r="B637" s="542">
        <v>76.599999999999994</v>
      </c>
      <c r="C637" s="543">
        <v>64</v>
      </c>
      <c r="D637" s="543">
        <v>21.7</v>
      </c>
      <c r="E637" s="544">
        <v>14</v>
      </c>
      <c r="F637" s="512"/>
      <c r="G637" s="480"/>
      <c r="H637" s="481"/>
      <c r="I637" s="482"/>
      <c r="J637" s="483">
        <v>17.910753839658661</v>
      </c>
      <c r="K637" s="480">
        <v>2050</v>
      </c>
      <c r="L637" s="481"/>
      <c r="M637" s="482"/>
      <c r="N637" s="483"/>
      <c r="O637" s="513"/>
      <c r="P637" s="514">
        <v>2504</v>
      </c>
      <c r="Q637" s="486">
        <v>3.04</v>
      </c>
      <c r="R637" s="485">
        <v>0.75</v>
      </c>
      <c r="S637" s="515">
        <v>6.2</v>
      </c>
      <c r="T637" s="516">
        <v>96.2</v>
      </c>
      <c r="U637" s="490">
        <v>10</v>
      </c>
      <c r="V637" s="373"/>
      <c r="W637" s="391" t="s">
        <v>511</v>
      </c>
    </row>
    <row r="638" spans="1:23">
      <c r="A638" s="476" t="s">
        <v>1109</v>
      </c>
      <c r="B638" s="542">
        <v>76.599999999999994</v>
      </c>
      <c r="C638" s="543">
        <v>64</v>
      </c>
      <c r="D638" s="543">
        <v>21.7</v>
      </c>
      <c r="E638" s="544">
        <v>14</v>
      </c>
      <c r="F638" s="512"/>
      <c r="G638" s="480"/>
      <c r="H638" s="481"/>
      <c r="I638" s="482"/>
      <c r="J638" s="483"/>
      <c r="K638" s="480"/>
      <c r="L638" s="481">
        <v>13.105153077224749</v>
      </c>
      <c r="M638" s="482">
        <v>3800</v>
      </c>
      <c r="N638" s="483"/>
      <c r="O638" s="513"/>
      <c r="P638" s="514">
        <v>4173</v>
      </c>
      <c r="Q638" s="486">
        <v>3.04</v>
      </c>
      <c r="R638" s="485">
        <v>0.75</v>
      </c>
      <c r="S638" s="515">
        <v>6.2</v>
      </c>
      <c r="T638" s="516">
        <v>96.2</v>
      </c>
      <c r="U638" s="490">
        <v>10</v>
      </c>
      <c r="V638" s="373"/>
      <c r="W638" s="391" t="s">
        <v>511</v>
      </c>
    </row>
    <row r="639" spans="1:23">
      <c r="A639" s="476" t="s">
        <v>1110</v>
      </c>
      <c r="B639" s="542">
        <v>76.599999999999994</v>
      </c>
      <c r="C639" s="543">
        <v>64</v>
      </c>
      <c r="D639" s="543">
        <v>21.7</v>
      </c>
      <c r="E639" s="544">
        <v>14</v>
      </c>
      <c r="F639" s="512"/>
      <c r="G639" s="480"/>
      <c r="H639" s="481"/>
      <c r="I639" s="482"/>
      <c r="J639" s="483"/>
      <c r="K639" s="480"/>
      <c r="L639" s="481"/>
      <c r="M639" s="482"/>
      <c r="N639" s="483">
        <v>10.26549382942725</v>
      </c>
      <c r="O639" s="513">
        <v>4800</v>
      </c>
      <c r="P639" s="514">
        <v>5007</v>
      </c>
      <c r="Q639" s="486">
        <v>3.04</v>
      </c>
      <c r="R639" s="485">
        <v>0.75</v>
      </c>
      <c r="S639" s="515">
        <v>6.2</v>
      </c>
      <c r="T639" s="516">
        <v>96.2</v>
      </c>
      <c r="U639" s="490">
        <v>10</v>
      </c>
      <c r="V639" s="373"/>
      <c r="W639" s="391" t="s">
        <v>511</v>
      </c>
    </row>
    <row r="640" spans="1:23">
      <c r="A640" s="476" t="s">
        <v>1111</v>
      </c>
      <c r="B640" s="542">
        <v>75.2</v>
      </c>
      <c r="C640" s="543">
        <v>93</v>
      </c>
      <c r="D640" s="543">
        <v>20.7</v>
      </c>
      <c r="E640" s="544">
        <v>20.2</v>
      </c>
      <c r="F640" s="512"/>
      <c r="G640" s="480"/>
      <c r="H640" s="481">
        <v>18.044877685729375</v>
      </c>
      <c r="I640" s="482">
        <v>1450</v>
      </c>
      <c r="J640" s="483"/>
      <c r="K640" s="480"/>
      <c r="L640" s="481"/>
      <c r="M640" s="482"/>
      <c r="N640" s="483"/>
      <c r="O640" s="513"/>
      <c r="P640" s="514">
        <v>1813</v>
      </c>
      <c r="Q640" s="486">
        <v>3.04</v>
      </c>
      <c r="R640" s="485">
        <v>0.36</v>
      </c>
      <c r="S640" s="515">
        <v>2.8</v>
      </c>
      <c r="T640" s="516">
        <v>63.6</v>
      </c>
      <c r="U640" s="490">
        <v>10</v>
      </c>
      <c r="V640" s="373"/>
      <c r="W640" s="391" t="s">
        <v>511</v>
      </c>
    </row>
    <row r="641" spans="1:23">
      <c r="A641" s="476" t="s">
        <v>1112</v>
      </c>
      <c r="B641" s="542">
        <v>75.2</v>
      </c>
      <c r="C641" s="543">
        <v>93</v>
      </c>
      <c r="D641" s="543">
        <v>20.7</v>
      </c>
      <c r="E641" s="544">
        <v>20.2</v>
      </c>
      <c r="F641" s="512"/>
      <c r="G641" s="480"/>
      <c r="H641" s="481"/>
      <c r="I641" s="482"/>
      <c r="J641" s="483">
        <v>14.724399251211478</v>
      </c>
      <c r="K641" s="480">
        <v>3100</v>
      </c>
      <c r="L641" s="481"/>
      <c r="M641" s="482"/>
      <c r="N641" s="483"/>
      <c r="O641" s="513"/>
      <c r="P641" s="514">
        <v>3783</v>
      </c>
      <c r="Q641" s="486">
        <v>3.04</v>
      </c>
      <c r="R641" s="485">
        <v>0.36</v>
      </c>
      <c r="S641" s="515">
        <v>2.8</v>
      </c>
      <c r="T641" s="516">
        <v>63.6</v>
      </c>
      <c r="U641" s="490">
        <v>10</v>
      </c>
      <c r="V641" s="373"/>
      <c r="W641" s="391" t="s">
        <v>511</v>
      </c>
    </row>
    <row r="642" spans="1:23">
      <c r="A642" s="476" t="s">
        <v>1113</v>
      </c>
      <c r="B642" s="542">
        <v>75.2</v>
      </c>
      <c r="C642" s="543">
        <v>93</v>
      </c>
      <c r="D642" s="543">
        <v>20.7</v>
      </c>
      <c r="E642" s="544">
        <v>20.2</v>
      </c>
      <c r="F642" s="512"/>
      <c r="G642" s="480"/>
      <c r="H642" s="481"/>
      <c r="I642" s="482"/>
      <c r="J642" s="483"/>
      <c r="K642" s="480"/>
      <c r="L642" s="481">
        <v>5.7009300615516914</v>
      </c>
      <c r="M642" s="482">
        <v>5000</v>
      </c>
      <c r="N642" s="483"/>
      <c r="O642" s="513"/>
      <c r="P642" s="514">
        <v>6305</v>
      </c>
      <c r="Q642" s="486">
        <v>3.04</v>
      </c>
      <c r="R642" s="485">
        <v>0.36</v>
      </c>
      <c r="S642" s="515">
        <v>2.8</v>
      </c>
      <c r="T642" s="516">
        <v>63.6</v>
      </c>
      <c r="U642" s="490">
        <v>10</v>
      </c>
      <c r="V642" s="373"/>
      <c r="W642" s="391" t="s">
        <v>511</v>
      </c>
    </row>
    <row r="643" spans="1:23">
      <c r="A643" s="476" t="s">
        <v>1114</v>
      </c>
      <c r="B643" s="542">
        <v>75.7</v>
      </c>
      <c r="C643" s="543">
        <v>104</v>
      </c>
      <c r="D643" s="543">
        <v>20</v>
      </c>
      <c r="E643" s="544">
        <v>21.5</v>
      </c>
      <c r="F643" s="512"/>
      <c r="G643" s="480"/>
      <c r="H643" s="481">
        <v>17.188733853924695</v>
      </c>
      <c r="I643" s="482">
        <v>1550</v>
      </c>
      <c r="J643" s="483"/>
      <c r="K643" s="480"/>
      <c r="L643" s="481"/>
      <c r="M643" s="482"/>
      <c r="N643" s="483"/>
      <c r="O643" s="513"/>
      <c r="P643" s="514">
        <v>1996</v>
      </c>
      <c r="Q643" s="486">
        <v>3.04</v>
      </c>
      <c r="R643" s="485">
        <v>0.32</v>
      </c>
      <c r="S643" s="515">
        <v>2.2999999999999998</v>
      </c>
      <c r="T643" s="516">
        <v>57.8</v>
      </c>
      <c r="U643" s="490">
        <v>10</v>
      </c>
      <c r="V643" s="373"/>
      <c r="W643" s="391" t="s">
        <v>511</v>
      </c>
    </row>
    <row r="644" spans="1:23">
      <c r="A644" s="476" t="s">
        <v>1115</v>
      </c>
      <c r="B644" s="542">
        <v>75.7</v>
      </c>
      <c r="C644" s="543">
        <v>104</v>
      </c>
      <c r="D644" s="543">
        <v>20</v>
      </c>
      <c r="E644" s="544">
        <v>21.5</v>
      </c>
      <c r="F644" s="512"/>
      <c r="G644" s="480"/>
      <c r="H644" s="481"/>
      <c r="I644" s="482"/>
      <c r="J644" s="483">
        <v>13.298799803649256</v>
      </c>
      <c r="K644" s="480">
        <v>3400</v>
      </c>
      <c r="L644" s="481"/>
      <c r="M644" s="482"/>
      <c r="N644" s="483"/>
      <c r="O644" s="513"/>
      <c r="P644" s="514">
        <v>4166</v>
      </c>
      <c r="Q644" s="486">
        <v>3.04</v>
      </c>
      <c r="R644" s="485">
        <v>0.32</v>
      </c>
      <c r="S644" s="515">
        <v>2.2999999999999998</v>
      </c>
      <c r="T644" s="516">
        <v>57.8</v>
      </c>
      <c r="U644" s="490">
        <v>10</v>
      </c>
      <c r="V644" s="373"/>
      <c r="W644" s="391" t="s">
        <v>511</v>
      </c>
    </row>
    <row r="645" spans="1:23">
      <c r="A645" s="476" t="s">
        <v>1116</v>
      </c>
      <c r="B645" s="542">
        <v>92.3</v>
      </c>
      <c r="C645" s="543">
        <v>49</v>
      </c>
      <c r="D645" s="543">
        <v>25.6</v>
      </c>
      <c r="E645" s="544">
        <v>10.86</v>
      </c>
      <c r="F645" s="512"/>
      <c r="G645" s="480"/>
      <c r="H645" s="481">
        <v>23.786429676643269</v>
      </c>
      <c r="I645" s="482">
        <v>550</v>
      </c>
      <c r="J645" s="483"/>
      <c r="K645" s="480"/>
      <c r="L645" s="481"/>
      <c r="M645" s="482"/>
      <c r="N645" s="483"/>
      <c r="O645" s="513"/>
      <c r="P645" s="514">
        <v>778</v>
      </c>
      <c r="Q645" s="486">
        <v>3.81</v>
      </c>
      <c r="R645" s="485">
        <v>1.35</v>
      </c>
      <c r="S645" s="515">
        <v>11</v>
      </c>
      <c r="T645" s="516">
        <v>147</v>
      </c>
      <c r="U645" s="490">
        <v>10</v>
      </c>
      <c r="V645" s="373"/>
      <c r="W645" s="391" t="s">
        <v>511</v>
      </c>
    </row>
    <row r="646" spans="1:23">
      <c r="A646" s="476" t="s">
        <v>1117</v>
      </c>
      <c r="B646" s="542">
        <v>92.3</v>
      </c>
      <c r="C646" s="543">
        <v>49</v>
      </c>
      <c r="D646" s="543">
        <v>25.6</v>
      </c>
      <c r="E646" s="544">
        <v>10.86</v>
      </c>
      <c r="F646" s="512"/>
      <c r="G646" s="480"/>
      <c r="H646" s="481"/>
      <c r="I646" s="482"/>
      <c r="J646" s="483">
        <v>22.612734314496489</v>
      </c>
      <c r="K646" s="480">
        <v>1250</v>
      </c>
      <c r="L646" s="481"/>
      <c r="M646" s="482"/>
      <c r="N646" s="483"/>
      <c r="O646" s="513"/>
      <c r="P646" s="514">
        <v>1633</v>
      </c>
      <c r="Q646" s="486">
        <v>3.81</v>
      </c>
      <c r="R646" s="485">
        <v>1.35</v>
      </c>
      <c r="S646" s="515">
        <v>11</v>
      </c>
      <c r="T646" s="516">
        <v>147</v>
      </c>
      <c r="U646" s="490">
        <v>10</v>
      </c>
      <c r="V646" s="373"/>
      <c r="W646" s="391" t="s">
        <v>511</v>
      </c>
    </row>
    <row r="647" spans="1:23">
      <c r="A647" s="476" t="s">
        <v>1118</v>
      </c>
      <c r="B647" s="542">
        <v>92.3</v>
      </c>
      <c r="C647" s="543">
        <v>49</v>
      </c>
      <c r="D647" s="543">
        <v>25.6</v>
      </c>
      <c r="E647" s="544">
        <v>10.86</v>
      </c>
      <c r="F647" s="512"/>
      <c r="G647" s="480"/>
      <c r="H647" s="481"/>
      <c r="I647" s="482"/>
      <c r="J647" s="483"/>
      <c r="K647" s="480"/>
      <c r="L647" s="481">
        <v>20.136560191191975</v>
      </c>
      <c r="M647" s="482">
        <v>2300</v>
      </c>
      <c r="N647" s="483"/>
      <c r="O647" s="513"/>
      <c r="P647" s="514">
        <v>2721</v>
      </c>
      <c r="Q647" s="486">
        <v>3.81</v>
      </c>
      <c r="R647" s="485">
        <v>1.35</v>
      </c>
      <c r="S647" s="515">
        <v>11</v>
      </c>
      <c r="T647" s="516">
        <v>147</v>
      </c>
      <c r="U647" s="490">
        <v>10</v>
      </c>
      <c r="V647" s="373"/>
      <c r="W647" s="391" t="s">
        <v>511</v>
      </c>
    </row>
    <row r="648" spans="1:23">
      <c r="A648" s="476" t="s">
        <v>1119</v>
      </c>
      <c r="B648" s="542">
        <v>92.3</v>
      </c>
      <c r="C648" s="543">
        <v>49</v>
      </c>
      <c r="D648" s="543">
        <v>25.6</v>
      </c>
      <c r="E648" s="544">
        <v>10.86</v>
      </c>
      <c r="F648" s="512"/>
      <c r="G648" s="480"/>
      <c r="H648" s="481"/>
      <c r="I648" s="482"/>
      <c r="J648" s="483"/>
      <c r="K648" s="480"/>
      <c r="L648" s="481"/>
      <c r="M648" s="482"/>
      <c r="N648" s="483">
        <v>18.416500557776462</v>
      </c>
      <c r="O648" s="513">
        <v>2800</v>
      </c>
      <c r="P648" s="514">
        <v>3266</v>
      </c>
      <c r="Q648" s="486">
        <v>3.81</v>
      </c>
      <c r="R648" s="485">
        <v>1.35</v>
      </c>
      <c r="S648" s="515">
        <v>11</v>
      </c>
      <c r="T648" s="516">
        <v>147</v>
      </c>
      <c r="U648" s="490">
        <v>10</v>
      </c>
      <c r="V648" s="373"/>
      <c r="W648" s="391" t="s">
        <v>511</v>
      </c>
    </row>
    <row r="649" spans="1:23">
      <c r="A649" s="476" t="s">
        <v>1120</v>
      </c>
      <c r="B649" s="542">
        <v>93</v>
      </c>
      <c r="C649" s="543">
        <v>61</v>
      </c>
      <c r="D649" s="543">
        <v>25.9</v>
      </c>
      <c r="E649" s="544">
        <v>13.3</v>
      </c>
      <c r="F649" s="512"/>
      <c r="G649" s="480"/>
      <c r="H649" s="481">
        <v>23.708598419206478</v>
      </c>
      <c r="I649" s="482">
        <v>725</v>
      </c>
      <c r="J649" s="483"/>
      <c r="K649" s="480"/>
      <c r="L649" s="481"/>
      <c r="M649" s="482"/>
      <c r="N649" s="483"/>
      <c r="O649" s="513"/>
      <c r="P649" s="514">
        <v>948</v>
      </c>
      <c r="Q649" s="486">
        <v>3.81</v>
      </c>
      <c r="R649" s="485">
        <v>0.9</v>
      </c>
      <c r="S649" s="515">
        <v>7.6</v>
      </c>
      <c r="T649" s="516">
        <v>122</v>
      </c>
      <c r="U649" s="490">
        <v>10</v>
      </c>
      <c r="V649" s="373"/>
      <c r="W649" s="391" t="s">
        <v>511</v>
      </c>
    </row>
    <row r="650" spans="1:23">
      <c r="A650" s="476" t="s">
        <v>1121</v>
      </c>
      <c r="B650" s="542">
        <v>93</v>
      </c>
      <c r="C650" s="543">
        <v>61</v>
      </c>
      <c r="D650" s="543">
        <v>25.9</v>
      </c>
      <c r="E650" s="544">
        <v>13.3</v>
      </c>
      <c r="F650" s="512"/>
      <c r="G650" s="480"/>
      <c r="H650" s="481"/>
      <c r="I650" s="482"/>
      <c r="J650" s="483">
        <v>22.117403059351133</v>
      </c>
      <c r="K650" s="480">
        <v>1550</v>
      </c>
      <c r="L650" s="481"/>
      <c r="M650" s="482"/>
      <c r="N650" s="483"/>
      <c r="O650" s="513"/>
      <c r="P650" s="514">
        <v>1984</v>
      </c>
      <c r="Q650" s="486">
        <v>3.81</v>
      </c>
      <c r="R650" s="485">
        <v>0.9</v>
      </c>
      <c r="S650" s="515">
        <v>7.6</v>
      </c>
      <c r="T650" s="516">
        <v>122</v>
      </c>
      <c r="U650" s="490">
        <v>10</v>
      </c>
      <c r="V650" s="373"/>
      <c r="W650" s="391" t="s">
        <v>511</v>
      </c>
    </row>
    <row r="651" spans="1:23">
      <c r="A651" s="476" t="s">
        <v>1122</v>
      </c>
      <c r="B651" s="542">
        <v>93</v>
      </c>
      <c r="C651" s="543">
        <v>61</v>
      </c>
      <c r="D651" s="543">
        <v>25.9</v>
      </c>
      <c r="E651" s="544">
        <v>13.3</v>
      </c>
      <c r="F651" s="512"/>
      <c r="G651" s="480"/>
      <c r="H651" s="481"/>
      <c r="I651" s="482"/>
      <c r="J651" s="483"/>
      <c r="K651" s="480"/>
      <c r="L651" s="481">
        <v>18.327948183424581</v>
      </c>
      <c r="M651" s="482">
        <v>2850</v>
      </c>
      <c r="N651" s="483"/>
      <c r="O651" s="513"/>
      <c r="P651" s="514">
        <v>3307</v>
      </c>
      <c r="Q651" s="486">
        <v>3.81</v>
      </c>
      <c r="R651" s="485">
        <v>0.9</v>
      </c>
      <c r="S651" s="515">
        <v>7.6</v>
      </c>
      <c r="T651" s="516">
        <v>122</v>
      </c>
      <c r="U651" s="490">
        <v>10</v>
      </c>
      <c r="V651" s="373"/>
      <c r="W651" s="391" t="s">
        <v>511</v>
      </c>
    </row>
    <row r="652" spans="1:23">
      <c r="A652" s="476" t="s">
        <v>1123</v>
      </c>
      <c r="B652" s="542">
        <v>93</v>
      </c>
      <c r="C652" s="543">
        <v>61</v>
      </c>
      <c r="D652" s="543">
        <v>25.9</v>
      </c>
      <c r="E652" s="544">
        <v>13.3</v>
      </c>
      <c r="F652" s="512"/>
      <c r="G652" s="480"/>
      <c r="H652" s="481"/>
      <c r="I652" s="482"/>
      <c r="J652" s="483"/>
      <c r="K652" s="480"/>
      <c r="L652" s="481"/>
      <c r="M652" s="482"/>
      <c r="N652" s="483">
        <v>16.149545696089383</v>
      </c>
      <c r="O652" s="513">
        <v>3400</v>
      </c>
      <c r="P652" s="514">
        <v>3968</v>
      </c>
      <c r="Q652" s="486">
        <v>3.81</v>
      </c>
      <c r="R652" s="485">
        <v>0.9</v>
      </c>
      <c r="S652" s="515">
        <v>7.6</v>
      </c>
      <c r="T652" s="516">
        <v>122</v>
      </c>
      <c r="U652" s="490">
        <v>10</v>
      </c>
      <c r="V652" s="373"/>
      <c r="W652" s="391" t="s">
        <v>511</v>
      </c>
    </row>
    <row r="653" spans="1:23">
      <c r="A653" s="476" t="s">
        <v>1124</v>
      </c>
      <c r="B653" s="542">
        <v>93</v>
      </c>
      <c r="C653" s="543">
        <v>68</v>
      </c>
      <c r="D653" s="543">
        <v>25.3</v>
      </c>
      <c r="E653" s="544">
        <v>14.7</v>
      </c>
      <c r="F653" s="512"/>
      <c r="G653" s="480"/>
      <c r="H653" s="481">
        <v>22.977994908892388</v>
      </c>
      <c r="I653" s="482">
        <v>800</v>
      </c>
      <c r="J653" s="483"/>
      <c r="K653" s="480"/>
      <c r="L653" s="481"/>
      <c r="M653" s="482"/>
      <c r="N653" s="483"/>
      <c r="O653" s="513"/>
      <c r="P653" s="514">
        <v>1080</v>
      </c>
      <c r="Q653" s="486">
        <v>3.81</v>
      </c>
      <c r="R653" s="485">
        <v>0.73</v>
      </c>
      <c r="S653" s="515">
        <v>6.1</v>
      </c>
      <c r="T653" s="516">
        <v>107</v>
      </c>
      <c r="U653" s="490">
        <v>10</v>
      </c>
      <c r="V653" s="373"/>
      <c r="W653" s="391" t="s">
        <v>511</v>
      </c>
    </row>
    <row r="654" spans="1:23">
      <c r="A654" s="476" t="s">
        <v>1125</v>
      </c>
      <c r="B654" s="542">
        <v>93</v>
      </c>
      <c r="C654" s="543">
        <v>68</v>
      </c>
      <c r="D654" s="543">
        <v>25.3</v>
      </c>
      <c r="E654" s="544">
        <v>14.7</v>
      </c>
      <c r="F654" s="512"/>
      <c r="G654" s="480"/>
      <c r="H654" s="481"/>
      <c r="I654" s="482"/>
      <c r="J654" s="483">
        <v>21.088029959676135</v>
      </c>
      <c r="K654" s="480">
        <v>1800</v>
      </c>
      <c r="L654" s="481"/>
      <c r="M654" s="482"/>
      <c r="N654" s="483"/>
      <c r="O654" s="513"/>
      <c r="P654" s="514">
        <v>2260</v>
      </c>
      <c r="Q654" s="486">
        <v>3.81</v>
      </c>
      <c r="R654" s="485">
        <v>0.73</v>
      </c>
      <c r="S654" s="515">
        <v>6.1</v>
      </c>
      <c r="T654" s="516">
        <v>107</v>
      </c>
      <c r="U654" s="490">
        <v>10</v>
      </c>
      <c r="V654" s="373"/>
      <c r="W654" s="391" t="s">
        <v>511</v>
      </c>
    </row>
    <row r="655" spans="1:23">
      <c r="A655" s="476" t="s">
        <v>1126</v>
      </c>
      <c r="B655" s="542">
        <v>93</v>
      </c>
      <c r="C655" s="543">
        <v>68</v>
      </c>
      <c r="D655" s="543">
        <v>25.3</v>
      </c>
      <c r="E655" s="544">
        <v>14.7</v>
      </c>
      <c r="F655" s="512"/>
      <c r="G655" s="480"/>
      <c r="H655" s="481"/>
      <c r="I655" s="482"/>
      <c r="J655" s="483"/>
      <c r="K655" s="480"/>
      <c r="L655" s="481">
        <v>16.14699240823229</v>
      </c>
      <c r="M655" s="482">
        <v>3300</v>
      </c>
      <c r="N655" s="483"/>
      <c r="O655" s="513"/>
      <c r="P655" s="514">
        <v>3766</v>
      </c>
      <c r="Q655" s="486">
        <v>3.81</v>
      </c>
      <c r="R655" s="485">
        <v>0.73</v>
      </c>
      <c r="S655" s="515">
        <v>6.1</v>
      </c>
      <c r="T655" s="516">
        <v>107</v>
      </c>
      <c r="U655" s="490">
        <v>10</v>
      </c>
      <c r="V655" s="373"/>
      <c r="W655" s="391" t="s">
        <v>511</v>
      </c>
    </row>
    <row r="656" spans="1:23">
      <c r="A656" s="476" t="s">
        <v>1127</v>
      </c>
      <c r="B656" s="542">
        <v>93</v>
      </c>
      <c r="C656" s="543">
        <v>68</v>
      </c>
      <c r="D656" s="543">
        <v>25.3</v>
      </c>
      <c r="E656" s="544">
        <v>14.7</v>
      </c>
      <c r="F656" s="512"/>
      <c r="G656" s="480"/>
      <c r="H656" s="481"/>
      <c r="I656" s="482"/>
      <c r="J656" s="483"/>
      <c r="K656" s="480"/>
      <c r="L656" s="481"/>
      <c r="M656" s="482"/>
      <c r="N656" s="483">
        <v>11.206042017217307</v>
      </c>
      <c r="O656" s="513">
        <v>4150</v>
      </c>
      <c r="P656" s="514">
        <v>4520</v>
      </c>
      <c r="Q656" s="486">
        <v>3.81</v>
      </c>
      <c r="R656" s="485">
        <v>0.73</v>
      </c>
      <c r="S656" s="515">
        <v>6.1</v>
      </c>
      <c r="T656" s="516">
        <v>107</v>
      </c>
      <c r="U656" s="490">
        <v>10</v>
      </c>
      <c r="V656" s="373"/>
      <c r="W656" s="391" t="s">
        <v>511</v>
      </c>
    </row>
    <row r="657" spans="1:23">
      <c r="A657" s="476" t="s">
        <v>1128</v>
      </c>
      <c r="B657" s="542">
        <v>91.5</v>
      </c>
      <c r="C657" s="543">
        <v>89</v>
      </c>
      <c r="D657" s="543">
        <v>24.7</v>
      </c>
      <c r="E657" s="544">
        <v>19.2</v>
      </c>
      <c r="F657" s="512"/>
      <c r="G657" s="480"/>
      <c r="H657" s="481">
        <v>21.838826104261813</v>
      </c>
      <c r="I657" s="482">
        <v>1150</v>
      </c>
      <c r="J657" s="483"/>
      <c r="K657" s="480"/>
      <c r="L657" s="481"/>
      <c r="M657" s="482"/>
      <c r="N657" s="483"/>
      <c r="O657" s="513"/>
      <c r="P657" s="514">
        <v>1443</v>
      </c>
      <c r="Q657" s="486">
        <v>3.81</v>
      </c>
      <c r="R657" s="485">
        <v>0.43</v>
      </c>
      <c r="S657" s="515">
        <v>3.4</v>
      </c>
      <c r="T657" s="516">
        <v>80</v>
      </c>
      <c r="U657" s="490">
        <v>10</v>
      </c>
      <c r="V657" s="373"/>
      <c r="W657" s="391" t="s">
        <v>511</v>
      </c>
    </row>
    <row r="658" spans="1:23">
      <c r="A658" s="476" t="s">
        <v>1129</v>
      </c>
      <c r="B658" s="542">
        <v>91.5</v>
      </c>
      <c r="C658" s="543">
        <v>89</v>
      </c>
      <c r="D658" s="543">
        <v>24.7</v>
      </c>
      <c r="E658" s="544">
        <v>19.2</v>
      </c>
      <c r="F658" s="512"/>
      <c r="G658" s="480"/>
      <c r="H658" s="481"/>
      <c r="I658" s="482"/>
      <c r="J658" s="483">
        <v>18.65932552809381</v>
      </c>
      <c r="K658" s="480">
        <v>2500</v>
      </c>
      <c r="L658" s="481"/>
      <c r="M658" s="482"/>
      <c r="N658" s="483"/>
      <c r="O658" s="513"/>
      <c r="P658" s="514">
        <v>3015</v>
      </c>
      <c r="Q658" s="486">
        <v>3.81</v>
      </c>
      <c r="R658" s="485">
        <v>0.43</v>
      </c>
      <c r="S658" s="515">
        <v>3.4</v>
      </c>
      <c r="T658" s="516">
        <v>80</v>
      </c>
      <c r="U658" s="490">
        <v>10</v>
      </c>
      <c r="V658" s="373"/>
      <c r="W658" s="391" t="s">
        <v>511</v>
      </c>
    </row>
    <row r="659" spans="1:23">
      <c r="A659" s="476" t="s">
        <v>1130</v>
      </c>
      <c r="B659" s="542">
        <v>91.5</v>
      </c>
      <c r="C659" s="543">
        <v>89</v>
      </c>
      <c r="D659" s="543">
        <v>24.7</v>
      </c>
      <c r="E659" s="544">
        <v>19.2</v>
      </c>
      <c r="F659" s="512"/>
      <c r="G659" s="480"/>
      <c r="H659" s="481"/>
      <c r="I659" s="482"/>
      <c r="J659" s="483"/>
      <c r="K659" s="480"/>
      <c r="L659" s="481">
        <v>10.111019914073351</v>
      </c>
      <c r="M659" s="482">
        <v>4250</v>
      </c>
      <c r="N659" s="483"/>
      <c r="O659" s="513"/>
      <c r="P659" s="514">
        <v>5025</v>
      </c>
      <c r="Q659" s="486">
        <v>3.81</v>
      </c>
      <c r="R659" s="485">
        <v>0.43</v>
      </c>
      <c r="S659" s="515">
        <v>3.4</v>
      </c>
      <c r="T659" s="516">
        <v>80</v>
      </c>
      <c r="U659" s="490">
        <v>10</v>
      </c>
      <c r="V659" s="373"/>
      <c r="W659" s="391" t="s">
        <v>511</v>
      </c>
    </row>
    <row r="660" spans="1:23">
      <c r="A660" s="476" t="s">
        <v>1131</v>
      </c>
      <c r="B660" s="542">
        <v>92.1</v>
      </c>
      <c r="C660" s="543">
        <v>98.8</v>
      </c>
      <c r="D660" s="543">
        <v>24.7</v>
      </c>
      <c r="E660" s="544">
        <v>20.7</v>
      </c>
      <c r="F660" s="512"/>
      <c r="G660" s="480"/>
      <c r="H660" s="481">
        <v>22.042959618227506</v>
      </c>
      <c r="I660" s="482">
        <v>1200</v>
      </c>
      <c r="J660" s="483"/>
      <c r="K660" s="480"/>
      <c r="L660" s="481"/>
      <c r="M660" s="482"/>
      <c r="N660" s="483"/>
      <c r="O660" s="513"/>
      <c r="P660" s="514">
        <v>1536</v>
      </c>
      <c r="Q660" s="486">
        <v>3.81</v>
      </c>
      <c r="R660" s="485">
        <v>0.37</v>
      </c>
      <c r="S660" s="515">
        <v>2.8</v>
      </c>
      <c r="T660" s="516">
        <v>75</v>
      </c>
      <c r="U660" s="490">
        <v>10</v>
      </c>
      <c r="V660" s="373"/>
      <c r="W660" s="391" t="s">
        <v>511</v>
      </c>
    </row>
    <row r="661" spans="1:23">
      <c r="A661" s="476" t="s">
        <v>1132</v>
      </c>
      <c r="B661" s="542">
        <v>92.1</v>
      </c>
      <c r="C661" s="543">
        <v>98.8</v>
      </c>
      <c r="D661" s="543">
        <v>24.7</v>
      </c>
      <c r="E661" s="544">
        <v>20.7</v>
      </c>
      <c r="F661" s="512"/>
      <c r="G661" s="480"/>
      <c r="H661" s="481"/>
      <c r="I661" s="482"/>
      <c r="J661" s="483">
        <v>18.657856405542191</v>
      </c>
      <c r="K661" s="480">
        <v>2600</v>
      </c>
      <c r="L661" s="481"/>
      <c r="M661" s="482"/>
      <c r="N661" s="483"/>
      <c r="O661" s="513"/>
      <c r="P661" s="514">
        <v>3208</v>
      </c>
      <c r="Q661" s="486">
        <v>3.81</v>
      </c>
      <c r="R661" s="485">
        <v>0.37</v>
      </c>
      <c r="S661" s="515">
        <v>2.8</v>
      </c>
      <c r="T661" s="516">
        <v>75</v>
      </c>
      <c r="U661" s="490">
        <v>10</v>
      </c>
      <c r="V661" s="373"/>
      <c r="W661" s="391" t="s">
        <v>511</v>
      </c>
    </row>
    <row r="662" spans="1:23">
      <c r="A662" s="476" t="s">
        <v>1133</v>
      </c>
      <c r="B662" s="542">
        <v>92.1</v>
      </c>
      <c r="C662" s="543">
        <v>98.8</v>
      </c>
      <c r="D662" s="543">
        <v>24.7</v>
      </c>
      <c r="E662" s="544">
        <v>20.7</v>
      </c>
      <c r="F662" s="512"/>
      <c r="G662" s="480"/>
      <c r="H662" s="481"/>
      <c r="I662" s="482"/>
      <c r="J662" s="483"/>
      <c r="K662" s="480"/>
      <c r="L662" s="481">
        <v>6.8402026628842849</v>
      </c>
      <c r="M662" s="482">
        <v>4600</v>
      </c>
      <c r="N662" s="483"/>
      <c r="O662" s="513"/>
      <c r="P662" s="514">
        <v>5347</v>
      </c>
      <c r="Q662" s="486">
        <v>3.81</v>
      </c>
      <c r="R662" s="485">
        <v>0.37</v>
      </c>
      <c r="S662" s="515">
        <v>2.8</v>
      </c>
      <c r="T662" s="516">
        <v>75</v>
      </c>
      <c r="U662" s="490">
        <v>10</v>
      </c>
      <c r="V662" s="373"/>
      <c r="W662" s="391" t="s">
        <v>511</v>
      </c>
    </row>
    <row r="663" spans="1:23">
      <c r="A663" s="476" t="s">
        <v>1134</v>
      </c>
      <c r="B663" s="542">
        <v>118</v>
      </c>
      <c r="C663" s="543">
        <v>46.5</v>
      </c>
      <c r="D663" s="543">
        <v>30.7</v>
      </c>
      <c r="E663" s="544">
        <v>10.24</v>
      </c>
      <c r="F663" s="512"/>
      <c r="G663" s="480"/>
      <c r="H663" s="481">
        <v>28.329579870357374</v>
      </c>
      <c r="I663" s="482">
        <v>450</v>
      </c>
      <c r="J663" s="483"/>
      <c r="K663" s="480"/>
      <c r="L663" s="481"/>
      <c r="M663" s="482"/>
      <c r="N663" s="483"/>
      <c r="O663" s="513"/>
      <c r="P663" s="514">
        <v>617</v>
      </c>
      <c r="Q663" s="486">
        <v>6.1000000000000005</v>
      </c>
      <c r="R663" s="485">
        <v>1.36</v>
      </c>
      <c r="S663" s="515">
        <v>21</v>
      </c>
      <c r="T663" s="516">
        <v>187</v>
      </c>
      <c r="U663" s="490">
        <v>10</v>
      </c>
      <c r="V663" s="373"/>
      <c r="W663" s="391" t="s">
        <v>511</v>
      </c>
    </row>
    <row r="664" spans="1:23">
      <c r="A664" s="476" t="s">
        <v>1135</v>
      </c>
      <c r="B664" s="542">
        <v>118</v>
      </c>
      <c r="C664" s="543">
        <v>46.5</v>
      </c>
      <c r="D664" s="543">
        <v>30.7</v>
      </c>
      <c r="E664" s="544">
        <v>10.24</v>
      </c>
      <c r="F664" s="512"/>
      <c r="G664" s="480"/>
      <c r="H664" s="481"/>
      <c r="I664" s="482"/>
      <c r="J664" s="483">
        <v>27.341143907997175</v>
      </c>
      <c r="K664" s="480">
        <v>950</v>
      </c>
      <c r="L664" s="481"/>
      <c r="M664" s="482"/>
      <c r="N664" s="483"/>
      <c r="O664" s="513"/>
      <c r="P664" s="514">
        <v>1293</v>
      </c>
      <c r="Q664" s="486">
        <v>6.1000000000000005</v>
      </c>
      <c r="R664" s="485">
        <v>1.36</v>
      </c>
      <c r="S664" s="515">
        <v>21</v>
      </c>
      <c r="T664" s="516">
        <v>187</v>
      </c>
      <c r="U664" s="490">
        <v>10</v>
      </c>
      <c r="V664" s="373"/>
      <c r="W664" s="391" t="s">
        <v>511</v>
      </c>
    </row>
    <row r="665" spans="1:23">
      <c r="A665" s="476" t="s">
        <v>1136</v>
      </c>
      <c r="B665" s="542">
        <v>118</v>
      </c>
      <c r="C665" s="543">
        <v>46.5</v>
      </c>
      <c r="D665" s="543">
        <v>30.7</v>
      </c>
      <c r="E665" s="544">
        <v>10.24</v>
      </c>
      <c r="F665" s="512"/>
      <c r="G665" s="480"/>
      <c r="H665" s="481"/>
      <c r="I665" s="482"/>
      <c r="J665" s="483"/>
      <c r="K665" s="480"/>
      <c r="L665" s="481">
        <v>24.99187334951591</v>
      </c>
      <c r="M665" s="482">
        <v>1750</v>
      </c>
      <c r="N665" s="483"/>
      <c r="O665" s="513"/>
      <c r="P665" s="514">
        <v>2155</v>
      </c>
      <c r="Q665" s="486">
        <v>6.1000000000000005</v>
      </c>
      <c r="R665" s="485">
        <v>1.36</v>
      </c>
      <c r="S665" s="515">
        <v>21</v>
      </c>
      <c r="T665" s="516">
        <v>187</v>
      </c>
      <c r="U665" s="490">
        <v>10</v>
      </c>
      <c r="V665" s="373"/>
      <c r="W665" s="391" t="s">
        <v>511</v>
      </c>
    </row>
    <row r="666" spans="1:23">
      <c r="A666" s="476" t="s">
        <v>1137</v>
      </c>
      <c r="B666" s="542">
        <v>118</v>
      </c>
      <c r="C666" s="543">
        <v>46.5</v>
      </c>
      <c r="D666" s="543">
        <v>30.7</v>
      </c>
      <c r="E666" s="544">
        <v>10.24</v>
      </c>
      <c r="F666" s="512"/>
      <c r="G666" s="480"/>
      <c r="H666" s="481"/>
      <c r="I666" s="482"/>
      <c r="J666" s="483"/>
      <c r="K666" s="480"/>
      <c r="L666" s="481"/>
      <c r="M666" s="482"/>
      <c r="N666" s="483">
        <v>23.64587725936731</v>
      </c>
      <c r="O666" s="513">
        <v>2100</v>
      </c>
      <c r="P666" s="514">
        <v>2586</v>
      </c>
      <c r="Q666" s="486">
        <v>6.1000000000000005</v>
      </c>
      <c r="R666" s="485">
        <v>1.36</v>
      </c>
      <c r="S666" s="515">
        <v>21</v>
      </c>
      <c r="T666" s="516">
        <v>187</v>
      </c>
      <c r="U666" s="490">
        <v>10</v>
      </c>
      <c r="V666" s="373"/>
      <c r="W666" s="391" t="s">
        <v>511</v>
      </c>
    </row>
    <row r="667" spans="1:23">
      <c r="A667" s="476" t="s">
        <v>1138</v>
      </c>
      <c r="B667" s="542">
        <v>118</v>
      </c>
      <c r="C667" s="543">
        <v>57.5</v>
      </c>
      <c r="D667" s="543">
        <v>30.2</v>
      </c>
      <c r="E667" s="544">
        <v>12.5</v>
      </c>
      <c r="F667" s="512"/>
      <c r="G667" s="480"/>
      <c r="H667" s="481">
        <v>27.738432938873189</v>
      </c>
      <c r="I667" s="482">
        <v>525</v>
      </c>
      <c r="J667" s="483"/>
      <c r="K667" s="480"/>
      <c r="L667" s="481"/>
      <c r="M667" s="482"/>
      <c r="N667" s="483"/>
      <c r="O667" s="513"/>
      <c r="P667" s="514">
        <v>763</v>
      </c>
      <c r="Q667" s="486">
        <v>6.1000000000000005</v>
      </c>
      <c r="R667" s="485">
        <v>0.92</v>
      </c>
      <c r="S667" s="515">
        <v>14</v>
      </c>
      <c r="T667" s="516">
        <v>150</v>
      </c>
      <c r="U667" s="490">
        <v>10</v>
      </c>
      <c r="V667" s="373"/>
      <c r="W667" s="391" t="s">
        <v>511</v>
      </c>
    </row>
    <row r="668" spans="1:23">
      <c r="A668" s="476" t="s">
        <v>1139</v>
      </c>
      <c r="B668" s="542">
        <v>118</v>
      </c>
      <c r="C668" s="543">
        <v>57.5</v>
      </c>
      <c r="D668" s="543">
        <v>30.2</v>
      </c>
      <c r="E668" s="544">
        <v>12.5</v>
      </c>
      <c r="F668" s="512"/>
      <c r="G668" s="480"/>
      <c r="H668" s="481"/>
      <c r="I668" s="482"/>
      <c r="J668" s="483">
        <v>26.101410667070837</v>
      </c>
      <c r="K668" s="480">
        <v>1200</v>
      </c>
      <c r="L668" s="481"/>
      <c r="M668" s="482"/>
      <c r="N668" s="483"/>
      <c r="O668" s="513"/>
      <c r="P668" s="514">
        <v>1596</v>
      </c>
      <c r="Q668" s="486">
        <v>6.1000000000000005</v>
      </c>
      <c r="R668" s="485">
        <v>0.92</v>
      </c>
      <c r="S668" s="515">
        <v>14</v>
      </c>
      <c r="T668" s="516">
        <v>150</v>
      </c>
      <c r="U668" s="490">
        <v>10</v>
      </c>
      <c r="V668" s="373"/>
      <c r="W668" s="391" t="s">
        <v>511</v>
      </c>
    </row>
    <row r="669" spans="1:23">
      <c r="A669" s="476" t="s">
        <v>1140</v>
      </c>
      <c r="B669" s="542">
        <v>118</v>
      </c>
      <c r="C669" s="543">
        <v>57.5</v>
      </c>
      <c r="D669" s="543">
        <v>30.2</v>
      </c>
      <c r="E669" s="544">
        <v>12.5</v>
      </c>
      <c r="F669" s="512"/>
      <c r="G669" s="480"/>
      <c r="H669" s="481"/>
      <c r="I669" s="482"/>
      <c r="J669" s="483"/>
      <c r="K669" s="480"/>
      <c r="L669" s="481">
        <v>23.09597313705644</v>
      </c>
      <c r="M669" s="482">
        <v>2150</v>
      </c>
      <c r="N669" s="483"/>
      <c r="O669" s="513"/>
      <c r="P669" s="514">
        <v>2660</v>
      </c>
      <c r="Q669" s="486">
        <v>6.1000000000000005</v>
      </c>
      <c r="R669" s="485">
        <v>0.92</v>
      </c>
      <c r="S669" s="515">
        <v>14</v>
      </c>
      <c r="T669" s="516">
        <v>150</v>
      </c>
      <c r="U669" s="490">
        <v>10</v>
      </c>
      <c r="V669" s="373"/>
      <c r="W669" s="391" t="s">
        <v>511</v>
      </c>
    </row>
    <row r="670" spans="1:23">
      <c r="A670" s="476" t="s">
        <v>1141</v>
      </c>
      <c r="B670" s="542">
        <v>118</v>
      </c>
      <c r="C670" s="543">
        <v>57.5</v>
      </c>
      <c r="D670" s="543">
        <v>30.2</v>
      </c>
      <c r="E670" s="544">
        <v>12.5</v>
      </c>
      <c r="F670" s="512"/>
      <c r="G670" s="480"/>
      <c r="H670" s="481"/>
      <c r="I670" s="482"/>
      <c r="J670" s="483"/>
      <c r="K670" s="480"/>
      <c r="L670" s="481"/>
      <c r="M670" s="482"/>
      <c r="N670" s="483">
        <v>20.720171836492035</v>
      </c>
      <c r="O670" s="513">
        <v>2650</v>
      </c>
      <c r="P670" s="514">
        <v>3192</v>
      </c>
      <c r="Q670" s="486">
        <v>6.1000000000000005</v>
      </c>
      <c r="R670" s="485">
        <v>0.92</v>
      </c>
      <c r="S670" s="515">
        <v>14</v>
      </c>
      <c r="T670" s="516">
        <v>150</v>
      </c>
      <c r="U670" s="490">
        <v>10</v>
      </c>
      <c r="V670" s="373"/>
      <c r="W670" s="391" t="s">
        <v>511</v>
      </c>
    </row>
    <row r="671" spans="1:23">
      <c r="A671" s="476" t="s">
        <v>1142</v>
      </c>
      <c r="B671" s="542">
        <v>119</v>
      </c>
      <c r="C671" s="543">
        <v>65</v>
      </c>
      <c r="D671" s="543">
        <v>31.3</v>
      </c>
      <c r="E671" s="544">
        <v>14.3</v>
      </c>
      <c r="F671" s="512"/>
      <c r="G671" s="480"/>
      <c r="H671" s="481">
        <v>28.427521373798537</v>
      </c>
      <c r="I671" s="482">
        <v>650</v>
      </c>
      <c r="J671" s="483"/>
      <c r="K671" s="480"/>
      <c r="L671" s="481"/>
      <c r="M671" s="482"/>
      <c r="N671" s="483"/>
      <c r="O671" s="513"/>
      <c r="P671" s="514">
        <v>854</v>
      </c>
      <c r="Q671" s="486">
        <v>6.1000000000000005</v>
      </c>
      <c r="R671" s="485">
        <v>0.69</v>
      </c>
      <c r="S671" s="515">
        <v>11</v>
      </c>
      <c r="T671" s="516">
        <v>135</v>
      </c>
      <c r="U671" s="490">
        <v>10</v>
      </c>
      <c r="V671" s="373"/>
      <c r="W671" s="391" t="s">
        <v>511</v>
      </c>
    </row>
    <row r="672" spans="1:23">
      <c r="A672" s="476" t="s">
        <v>1143</v>
      </c>
      <c r="B672" s="542">
        <v>119</v>
      </c>
      <c r="C672" s="543">
        <v>65</v>
      </c>
      <c r="D672" s="543">
        <v>31.3</v>
      </c>
      <c r="E672" s="544">
        <v>14.3</v>
      </c>
      <c r="F672" s="512"/>
      <c r="G672" s="480"/>
      <c r="H672" s="481"/>
      <c r="I672" s="482"/>
      <c r="J672" s="483">
        <v>26.601611916788226</v>
      </c>
      <c r="K672" s="480">
        <v>1400</v>
      </c>
      <c r="L672" s="481"/>
      <c r="M672" s="482"/>
      <c r="N672" s="483"/>
      <c r="O672" s="513"/>
      <c r="P672" s="514">
        <v>1783</v>
      </c>
      <c r="Q672" s="486">
        <v>6.1000000000000005</v>
      </c>
      <c r="R672" s="485">
        <v>0.69</v>
      </c>
      <c r="S672" s="515">
        <v>11</v>
      </c>
      <c r="T672" s="516">
        <v>135</v>
      </c>
      <c r="U672" s="490">
        <v>10</v>
      </c>
      <c r="V672" s="373"/>
      <c r="W672" s="391" t="s">
        <v>511</v>
      </c>
    </row>
    <row r="673" spans="1:23">
      <c r="A673" s="476" t="s">
        <v>1144</v>
      </c>
      <c r="B673" s="542">
        <v>119</v>
      </c>
      <c r="C673" s="543">
        <v>65</v>
      </c>
      <c r="D673" s="543">
        <v>31.3</v>
      </c>
      <c r="E673" s="544">
        <v>14.3</v>
      </c>
      <c r="F673" s="512"/>
      <c r="G673" s="480"/>
      <c r="H673" s="481"/>
      <c r="I673" s="482"/>
      <c r="J673" s="483"/>
      <c r="K673" s="480"/>
      <c r="L673" s="481">
        <v>22.23076245107594</v>
      </c>
      <c r="M673" s="482">
        <v>2500</v>
      </c>
      <c r="N673" s="483"/>
      <c r="O673" s="513"/>
      <c r="P673" s="514">
        <v>2972</v>
      </c>
      <c r="Q673" s="486">
        <v>6.1000000000000005</v>
      </c>
      <c r="R673" s="485">
        <v>0.69</v>
      </c>
      <c r="S673" s="515">
        <v>11</v>
      </c>
      <c r="T673" s="516">
        <v>135</v>
      </c>
      <c r="U673" s="490">
        <v>10</v>
      </c>
      <c r="V673" s="373"/>
      <c r="W673" s="391" t="s">
        <v>511</v>
      </c>
    </row>
    <row r="674" spans="1:23">
      <c r="A674" s="476" t="s">
        <v>1145</v>
      </c>
      <c r="B674" s="542">
        <v>119</v>
      </c>
      <c r="C674" s="543">
        <v>65</v>
      </c>
      <c r="D674" s="543">
        <v>31.3</v>
      </c>
      <c r="E674" s="544">
        <v>14.3</v>
      </c>
      <c r="F674" s="512"/>
      <c r="G674" s="480"/>
      <c r="H674" s="481"/>
      <c r="I674" s="482"/>
      <c r="J674" s="483"/>
      <c r="K674" s="480"/>
      <c r="L674" s="481"/>
      <c r="M674" s="482"/>
      <c r="N674" s="483">
        <v>18.621128341751753</v>
      </c>
      <c r="O674" s="513">
        <v>3100</v>
      </c>
      <c r="P674" s="514">
        <v>3567</v>
      </c>
      <c r="Q674" s="486">
        <v>6.1000000000000005</v>
      </c>
      <c r="R674" s="485">
        <v>0.69</v>
      </c>
      <c r="S674" s="515">
        <v>11</v>
      </c>
      <c r="T674" s="516">
        <v>135</v>
      </c>
      <c r="U674" s="490">
        <v>10</v>
      </c>
      <c r="V674" s="373"/>
      <c r="W674" s="391" t="s">
        <v>511</v>
      </c>
    </row>
    <row r="675" spans="1:23">
      <c r="A675" s="476" t="s">
        <v>1146</v>
      </c>
      <c r="B675" s="542">
        <v>118</v>
      </c>
      <c r="C675" s="543">
        <v>93.5</v>
      </c>
      <c r="D675" s="543">
        <v>29.7</v>
      </c>
      <c r="E675" s="544">
        <v>20.2</v>
      </c>
      <c r="F675" s="512"/>
      <c r="G675" s="480"/>
      <c r="H675" s="481">
        <v>26.335954793732576</v>
      </c>
      <c r="I675" s="482">
        <v>950</v>
      </c>
      <c r="J675" s="483"/>
      <c r="K675" s="480"/>
      <c r="L675" s="481"/>
      <c r="M675" s="482"/>
      <c r="N675" s="483"/>
      <c r="O675" s="513"/>
      <c r="P675" s="514">
        <v>1263</v>
      </c>
      <c r="Q675" s="486">
        <v>6.1000000000000005</v>
      </c>
      <c r="R675" s="485">
        <v>0.35</v>
      </c>
      <c r="S675" s="515">
        <v>5</v>
      </c>
      <c r="T675" s="516">
        <v>91.2</v>
      </c>
      <c r="U675" s="490">
        <v>10</v>
      </c>
      <c r="V675" s="373"/>
      <c r="W675" s="391" t="s">
        <v>511</v>
      </c>
    </row>
    <row r="676" spans="1:23">
      <c r="A676" s="476" t="s">
        <v>1147</v>
      </c>
      <c r="B676" s="542">
        <v>118</v>
      </c>
      <c r="C676" s="543">
        <v>93.5</v>
      </c>
      <c r="D676" s="543">
        <v>29.7</v>
      </c>
      <c r="E676" s="544">
        <v>20.2</v>
      </c>
      <c r="F676" s="512"/>
      <c r="G676" s="480"/>
      <c r="H676" s="481"/>
      <c r="I676" s="482"/>
      <c r="J676" s="483">
        <v>22.804629703024432</v>
      </c>
      <c r="K676" s="480">
        <v>2100</v>
      </c>
      <c r="L676" s="481"/>
      <c r="M676" s="482"/>
      <c r="N676" s="483"/>
      <c r="O676" s="513"/>
      <c r="P676" s="514">
        <v>2635</v>
      </c>
      <c r="Q676" s="486">
        <v>6.1000000000000005</v>
      </c>
      <c r="R676" s="485">
        <v>0.35</v>
      </c>
      <c r="S676" s="515">
        <v>5</v>
      </c>
      <c r="T676" s="516">
        <v>91.2</v>
      </c>
      <c r="U676" s="490">
        <v>10</v>
      </c>
      <c r="V676" s="373"/>
      <c r="W676" s="391" t="s">
        <v>511</v>
      </c>
    </row>
    <row r="677" spans="1:23">
      <c r="A677" s="476" t="s">
        <v>1148</v>
      </c>
      <c r="B677" s="542">
        <v>118</v>
      </c>
      <c r="C677" s="543">
        <v>93.5</v>
      </c>
      <c r="D677" s="543">
        <v>29.7</v>
      </c>
      <c r="E677" s="544">
        <v>20.2</v>
      </c>
      <c r="F677" s="512"/>
      <c r="G677" s="480"/>
      <c r="H677" s="481"/>
      <c r="I677" s="482"/>
      <c r="J677" s="483"/>
      <c r="K677" s="480"/>
      <c r="L677" s="481">
        <v>12.723792477454767</v>
      </c>
      <c r="M677" s="482">
        <v>3700</v>
      </c>
      <c r="N677" s="483"/>
      <c r="O677" s="513"/>
      <c r="P677" s="514">
        <v>4392</v>
      </c>
      <c r="Q677" s="486">
        <v>6.1000000000000005</v>
      </c>
      <c r="R677" s="485">
        <v>0.35</v>
      </c>
      <c r="S677" s="515">
        <v>5</v>
      </c>
      <c r="T677" s="516">
        <v>91.2</v>
      </c>
      <c r="U677" s="490">
        <v>10</v>
      </c>
      <c r="V677" s="373"/>
      <c r="W677" s="391" t="s">
        <v>511</v>
      </c>
    </row>
    <row r="678" spans="1:23">
      <c r="A678" s="476" t="s">
        <v>1149</v>
      </c>
      <c r="B678" s="542">
        <v>118</v>
      </c>
      <c r="C678" s="543">
        <v>105</v>
      </c>
      <c r="D678" s="543">
        <v>31.2</v>
      </c>
      <c r="E678" s="544">
        <v>23.4</v>
      </c>
      <c r="F678" s="512"/>
      <c r="G678" s="480"/>
      <c r="H678" s="481">
        <v>27.345712949425653</v>
      </c>
      <c r="I678" s="482">
        <v>1100</v>
      </c>
      <c r="J678" s="483"/>
      <c r="K678" s="480"/>
      <c r="L678" s="481"/>
      <c r="M678" s="482"/>
      <c r="N678" s="483"/>
      <c r="O678" s="513"/>
      <c r="P678" s="514">
        <v>1394</v>
      </c>
      <c r="Q678" s="486">
        <v>6.1000000000000005</v>
      </c>
      <c r="R678" s="485">
        <v>0.26</v>
      </c>
      <c r="S678" s="515">
        <v>3.2</v>
      </c>
      <c r="T678" s="516">
        <v>82.7</v>
      </c>
      <c r="U678" s="490">
        <v>10</v>
      </c>
      <c r="V678" s="373"/>
      <c r="W678" s="391" t="s">
        <v>511</v>
      </c>
    </row>
    <row r="679" spans="1:23">
      <c r="A679" s="476" t="s">
        <v>1150</v>
      </c>
      <c r="B679" s="542">
        <v>118</v>
      </c>
      <c r="C679" s="543">
        <v>105</v>
      </c>
      <c r="D679" s="543">
        <v>31.2</v>
      </c>
      <c r="E679" s="544">
        <v>23.4</v>
      </c>
      <c r="F679" s="512"/>
      <c r="G679" s="480"/>
      <c r="H679" s="481"/>
      <c r="I679" s="482"/>
      <c r="J679" s="483">
        <v>23.167423890072417</v>
      </c>
      <c r="K679" s="480">
        <v>2300</v>
      </c>
      <c r="L679" s="481"/>
      <c r="M679" s="482"/>
      <c r="N679" s="483"/>
      <c r="O679" s="513"/>
      <c r="P679" s="514">
        <v>2909</v>
      </c>
      <c r="Q679" s="486">
        <v>6.1000000000000005</v>
      </c>
      <c r="R679" s="485">
        <v>0.26</v>
      </c>
      <c r="S679" s="515">
        <v>3.2</v>
      </c>
      <c r="T679" s="516">
        <v>82.7</v>
      </c>
      <c r="U679" s="490">
        <v>10</v>
      </c>
      <c r="V679" s="373"/>
      <c r="W679" s="391" t="s">
        <v>511</v>
      </c>
    </row>
    <row r="680" spans="1:23">
      <c r="A680" s="476" t="s">
        <v>1151</v>
      </c>
      <c r="B680" s="542">
        <v>171</v>
      </c>
      <c r="C680" s="543">
        <v>60.5</v>
      </c>
      <c r="D680" s="543">
        <v>43.7</v>
      </c>
      <c r="E680" s="544">
        <v>13.3</v>
      </c>
      <c r="F680" s="512"/>
      <c r="G680" s="480"/>
      <c r="H680" s="481">
        <v>40.226411866476546</v>
      </c>
      <c r="I680" s="482">
        <v>400</v>
      </c>
      <c r="J680" s="483"/>
      <c r="K680" s="480"/>
      <c r="L680" s="481"/>
      <c r="M680" s="482"/>
      <c r="N680" s="483"/>
      <c r="O680" s="513"/>
      <c r="P680" s="514">
        <v>568</v>
      </c>
      <c r="Q680" s="486">
        <v>9.2200000000000006</v>
      </c>
      <c r="R680" s="485">
        <v>0.95</v>
      </c>
      <c r="S680" s="515">
        <v>16</v>
      </c>
      <c r="T680" s="516">
        <v>202</v>
      </c>
      <c r="U680" s="490">
        <v>10</v>
      </c>
      <c r="V680" s="373"/>
      <c r="W680" s="391" t="s">
        <v>511</v>
      </c>
    </row>
    <row r="681" spans="1:23">
      <c r="A681" s="476" t="s">
        <v>1152</v>
      </c>
      <c r="B681" s="542">
        <v>171</v>
      </c>
      <c r="C681" s="543">
        <v>60.5</v>
      </c>
      <c r="D681" s="543">
        <v>43.7</v>
      </c>
      <c r="E681" s="544">
        <v>13.3</v>
      </c>
      <c r="F681" s="512"/>
      <c r="G681" s="480"/>
      <c r="H681" s="481"/>
      <c r="I681" s="482"/>
      <c r="J681" s="483">
        <v>38.46847317687061</v>
      </c>
      <c r="K681" s="480">
        <v>880</v>
      </c>
      <c r="L681" s="481"/>
      <c r="M681" s="482"/>
      <c r="N681" s="483"/>
      <c r="O681" s="513"/>
      <c r="P681" s="514">
        <v>1188</v>
      </c>
      <c r="Q681" s="486">
        <v>9.2200000000000006</v>
      </c>
      <c r="R681" s="485">
        <v>0.95</v>
      </c>
      <c r="S681" s="515">
        <v>16</v>
      </c>
      <c r="T681" s="516">
        <v>202</v>
      </c>
      <c r="U681" s="490">
        <v>10</v>
      </c>
      <c r="V681" s="373"/>
      <c r="W681" s="391" t="s">
        <v>511</v>
      </c>
    </row>
    <row r="682" spans="1:23">
      <c r="A682" s="476" t="s">
        <v>1153</v>
      </c>
      <c r="B682" s="542">
        <v>171</v>
      </c>
      <c r="C682" s="543">
        <v>60.5</v>
      </c>
      <c r="D682" s="543">
        <v>43.7</v>
      </c>
      <c r="E682" s="544">
        <v>13.3</v>
      </c>
      <c r="F682" s="512"/>
      <c r="G682" s="480"/>
      <c r="H682" s="481"/>
      <c r="I682" s="482"/>
      <c r="J682" s="483"/>
      <c r="K682" s="480"/>
      <c r="L682" s="481">
        <v>34.85493253712508</v>
      </c>
      <c r="M682" s="482">
        <v>1600</v>
      </c>
      <c r="N682" s="483"/>
      <c r="O682" s="513"/>
      <c r="P682" s="514">
        <v>1980</v>
      </c>
      <c r="Q682" s="486">
        <v>9.2200000000000006</v>
      </c>
      <c r="R682" s="485">
        <v>0.95</v>
      </c>
      <c r="S682" s="515">
        <v>16</v>
      </c>
      <c r="T682" s="516">
        <v>202</v>
      </c>
      <c r="U682" s="490">
        <v>10</v>
      </c>
      <c r="V682" s="373"/>
      <c r="W682" s="391" t="s">
        <v>511</v>
      </c>
    </row>
    <row r="683" spans="1:23">
      <c r="A683" s="476" t="s">
        <v>1154</v>
      </c>
      <c r="B683" s="542">
        <v>171</v>
      </c>
      <c r="C683" s="543">
        <v>60.5</v>
      </c>
      <c r="D683" s="543">
        <v>43.7</v>
      </c>
      <c r="E683" s="544">
        <v>13.3</v>
      </c>
      <c r="F683" s="512"/>
      <c r="G683" s="480"/>
      <c r="H683" s="481"/>
      <c r="I683" s="482"/>
      <c r="J683" s="483"/>
      <c r="K683" s="480"/>
      <c r="L683" s="481"/>
      <c r="M683" s="482"/>
      <c r="N683" s="483">
        <v>32.565549894187811</v>
      </c>
      <c r="O683" s="513">
        <v>1950</v>
      </c>
      <c r="P683" s="514">
        <v>2376</v>
      </c>
      <c r="Q683" s="486">
        <v>9.2200000000000006</v>
      </c>
      <c r="R683" s="485">
        <v>0.95</v>
      </c>
      <c r="S683" s="515">
        <v>16</v>
      </c>
      <c r="T683" s="516">
        <v>202</v>
      </c>
      <c r="U683" s="490">
        <v>10</v>
      </c>
      <c r="V683" s="373"/>
      <c r="W683" s="391" t="s">
        <v>511</v>
      </c>
    </row>
    <row r="684" spans="1:23">
      <c r="A684" s="476" t="s">
        <v>1155</v>
      </c>
      <c r="B684" s="542">
        <v>171</v>
      </c>
      <c r="C684" s="543">
        <v>68</v>
      </c>
      <c r="D684" s="543">
        <v>43.5</v>
      </c>
      <c r="E684" s="544">
        <v>14.9</v>
      </c>
      <c r="F684" s="512"/>
      <c r="G684" s="480"/>
      <c r="H684" s="481">
        <v>39.894839068368434</v>
      </c>
      <c r="I684" s="482">
        <v>450</v>
      </c>
      <c r="J684" s="483"/>
      <c r="K684" s="480"/>
      <c r="L684" s="481"/>
      <c r="M684" s="482"/>
      <c r="N684" s="483"/>
      <c r="O684" s="513"/>
      <c r="P684" s="514">
        <v>638</v>
      </c>
      <c r="Q684" s="486">
        <v>9.2200000000000006</v>
      </c>
      <c r="R684" s="485">
        <v>0.76</v>
      </c>
      <c r="S684" s="515">
        <v>12</v>
      </c>
      <c r="T684" s="516">
        <v>180</v>
      </c>
      <c r="U684" s="490">
        <v>10</v>
      </c>
      <c r="V684" s="373"/>
      <c r="W684" s="391" t="s">
        <v>511</v>
      </c>
    </row>
    <row r="685" spans="1:23">
      <c r="A685" s="476" t="s">
        <v>1156</v>
      </c>
      <c r="B685" s="542">
        <v>171</v>
      </c>
      <c r="C685" s="543">
        <v>68</v>
      </c>
      <c r="D685" s="543">
        <v>43.5</v>
      </c>
      <c r="E685" s="544">
        <v>14.9</v>
      </c>
      <c r="F685" s="512"/>
      <c r="G685" s="480"/>
      <c r="H685" s="481"/>
      <c r="I685" s="482"/>
      <c r="J685" s="483">
        <v>37.515093728803905</v>
      </c>
      <c r="K685" s="480">
        <v>1050</v>
      </c>
      <c r="L685" s="481"/>
      <c r="M685" s="482"/>
      <c r="N685" s="483"/>
      <c r="O685" s="513"/>
      <c r="P685" s="514">
        <v>1334</v>
      </c>
      <c r="Q685" s="486">
        <v>9.2200000000000006</v>
      </c>
      <c r="R685" s="485">
        <v>0.76</v>
      </c>
      <c r="S685" s="515">
        <v>12</v>
      </c>
      <c r="T685" s="516">
        <v>180</v>
      </c>
      <c r="U685" s="490">
        <v>10</v>
      </c>
      <c r="V685" s="373"/>
      <c r="W685" s="391" t="s">
        <v>511</v>
      </c>
    </row>
    <row r="686" spans="1:23">
      <c r="A686" s="476" t="s">
        <v>1157</v>
      </c>
      <c r="B686" s="542">
        <v>171</v>
      </c>
      <c r="C686" s="543">
        <v>68</v>
      </c>
      <c r="D686" s="543">
        <v>43.5</v>
      </c>
      <c r="E686" s="544">
        <v>14.9</v>
      </c>
      <c r="F686" s="512"/>
      <c r="G686" s="480"/>
      <c r="H686" s="481"/>
      <c r="I686" s="482"/>
      <c r="J686" s="483"/>
      <c r="K686" s="480"/>
      <c r="L686" s="481">
        <v>32.769165125026028</v>
      </c>
      <c r="M686" s="482">
        <v>1900</v>
      </c>
      <c r="N686" s="483"/>
      <c r="O686" s="513"/>
      <c r="P686" s="514">
        <v>2223</v>
      </c>
      <c r="Q686" s="486">
        <v>9.2200000000000006</v>
      </c>
      <c r="R686" s="485">
        <v>0.76</v>
      </c>
      <c r="S686" s="515">
        <v>12</v>
      </c>
      <c r="T686" s="516">
        <v>180</v>
      </c>
      <c r="U686" s="490">
        <v>10</v>
      </c>
      <c r="V686" s="373"/>
      <c r="W686" s="391" t="s">
        <v>511</v>
      </c>
    </row>
    <row r="687" spans="1:23">
      <c r="A687" s="476" t="s">
        <v>1158</v>
      </c>
      <c r="B687" s="542">
        <v>171</v>
      </c>
      <c r="C687" s="543">
        <v>68</v>
      </c>
      <c r="D687" s="543">
        <v>43.5</v>
      </c>
      <c r="E687" s="544">
        <v>14.9</v>
      </c>
      <c r="F687" s="512"/>
      <c r="G687" s="480"/>
      <c r="H687" s="481"/>
      <c r="I687" s="482"/>
      <c r="J687" s="483"/>
      <c r="K687" s="480"/>
      <c r="L687" s="481"/>
      <c r="M687" s="482"/>
      <c r="N687" s="483">
        <v>29.257419325829272</v>
      </c>
      <c r="O687" s="513">
        <v>2350</v>
      </c>
      <c r="P687" s="514">
        <v>2667</v>
      </c>
      <c r="Q687" s="486">
        <v>9.2200000000000006</v>
      </c>
      <c r="R687" s="485">
        <v>0.76</v>
      </c>
      <c r="S687" s="515">
        <v>12</v>
      </c>
      <c r="T687" s="516">
        <v>180</v>
      </c>
      <c r="U687" s="490">
        <v>10</v>
      </c>
      <c r="V687" s="373"/>
      <c r="W687" s="391" t="s">
        <v>511</v>
      </c>
    </row>
    <row r="688" spans="1:23">
      <c r="A688" s="476" t="s">
        <v>1159</v>
      </c>
      <c r="B688" s="542">
        <v>168</v>
      </c>
      <c r="C688" s="543">
        <v>97.2</v>
      </c>
      <c r="D688" s="543">
        <v>41.8</v>
      </c>
      <c r="E688" s="544">
        <v>21.1</v>
      </c>
      <c r="F688" s="512"/>
      <c r="G688" s="480"/>
      <c r="H688" s="481">
        <v>37.242256683503506</v>
      </c>
      <c r="I688" s="482">
        <v>750</v>
      </c>
      <c r="J688" s="483"/>
      <c r="K688" s="480"/>
      <c r="L688" s="481"/>
      <c r="M688" s="482"/>
      <c r="N688" s="483"/>
      <c r="O688" s="513"/>
      <c r="P688" s="514">
        <v>941</v>
      </c>
      <c r="Q688" s="486">
        <v>9.2200000000000006</v>
      </c>
      <c r="R688" s="485">
        <v>0.38</v>
      </c>
      <c r="S688" s="515">
        <v>5.9</v>
      </c>
      <c r="T688" s="516">
        <v>123</v>
      </c>
      <c r="U688" s="490">
        <v>10</v>
      </c>
      <c r="V688" s="373"/>
      <c r="W688" s="391" t="s">
        <v>511</v>
      </c>
    </row>
    <row r="689" spans="1:23">
      <c r="A689" s="476" t="s">
        <v>1160</v>
      </c>
      <c r="B689" s="542">
        <v>168</v>
      </c>
      <c r="C689" s="543">
        <v>97.2</v>
      </c>
      <c r="D689" s="543">
        <v>41.8</v>
      </c>
      <c r="E689" s="544">
        <v>21.1</v>
      </c>
      <c r="F689" s="512"/>
      <c r="G689" s="480"/>
      <c r="H689" s="481"/>
      <c r="I689" s="482"/>
      <c r="J689" s="483">
        <v>33.243488738319641</v>
      </c>
      <c r="K689" s="480">
        <v>1600</v>
      </c>
      <c r="L689" s="481"/>
      <c r="M689" s="482"/>
      <c r="N689" s="483"/>
      <c r="O689" s="513"/>
      <c r="P689" s="514">
        <v>1964</v>
      </c>
      <c r="Q689" s="486">
        <v>9.2200000000000006</v>
      </c>
      <c r="R689" s="485">
        <v>0.38</v>
      </c>
      <c r="S689" s="515">
        <v>5.9</v>
      </c>
      <c r="T689" s="516">
        <v>123</v>
      </c>
      <c r="U689" s="490">
        <v>10</v>
      </c>
      <c r="V689" s="373"/>
      <c r="W689" s="391" t="s">
        <v>511</v>
      </c>
    </row>
    <row r="690" spans="1:23">
      <c r="A690" s="476" t="s">
        <v>1161</v>
      </c>
      <c r="B690" s="542">
        <v>168</v>
      </c>
      <c r="C690" s="543">
        <v>97.2</v>
      </c>
      <c r="D690" s="543">
        <v>41.8</v>
      </c>
      <c r="E690" s="544">
        <v>21.1</v>
      </c>
      <c r="F690" s="512"/>
      <c r="G690" s="480"/>
      <c r="H690" s="481"/>
      <c r="I690" s="482"/>
      <c r="J690" s="483"/>
      <c r="K690" s="480"/>
      <c r="L690" s="481">
        <v>22.654882933908411</v>
      </c>
      <c r="M690" s="482">
        <v>2900</v>
      </c>
      <c r="N690" s="483"/>
      <c r="O690" s="513"/>
      <c r="P690" s="514">
        <v>3274</v>
      </c>
      <c r="Q690" s="486">
        <v>9.2200000000000006</v>
      </c>
      <c r="R690" s="485">
        <v>0.38</v>
      </c>
      <c r="S690" s="515">
        <v>5.9</v>
      </c>
      <c r="T690" s="516">
        <v>123</v>
      </c>
      <c r="U690" s="490">
        <v>10</v>
      </c>
      <c r="V690" s="373"/>
      <c r="W690" s="391" t="s">
        <v>511</v>
      </c>
    </row>
    <row r="691" spans="1:23">
      <c r="A691" s="476" t="s">
        <v>1162</v>
      </c>
      <c r="B691" s="542">
        <v>168</v>
      </c>
      <c r="C691" s="543">
        <v>97.2</v>
      </c>
      <c r="D691" s="543">
        <v>41.8</v>
      </c>
      <c r="E691" s="544">
        <v>21.1</v>
      </c>
      <c r="F691" s="512"/>
      <c r="G691" s="480"/>
      <c r="H691" s="481"/>
      <c r="I691" s="482"/>
      <c r="J691" s="483"/>
      <c r="K691" s="480"/>
      <c r="L691" s="481"/>
      <c r="M691" s="482"/>
      <c r="N691" s="483">
        <v>12.34587629984274</v>
      </c>
      <c r="O691" s="513">
        <v>3500</v>
      </c>
      <c r="P691" s="514">
        <v>3929</v>
      </c>
      <c r="Q691" s="486">
        <v>9.2200000000000006</v>
      </c>
      <c r="R691" s="485">
        <v>0.38</v>
      </c>
      <c r="S691" s="515">
        <v>5.9</v>
      </c>
      <c r="T691" s="516">
        <v>123</v>
      </c>
      <c r="U691" s="490">
        <v>10</v>
      </c>
      <c r="V691" s="373"/>
      <c r="W691" s="391" t="s">
        <v>511</v>
      </c>
    </row>
    <row r="692" spans="1:23">
      <c r="A692" s="476" t="s">
        <v>1163</v>
      </c>
      <c r="B692" s="542">
        <v>218</v>
      </c>
      <c r="C692" s="543">
        <v>64.5</v>
      </c>
      <c r="D692" s="543">
        <v>54.6</v>
      </c>
      <c r="E692" s="544">
        <v>14.1</v>
      </c>
      <c r="F692" s="512"/>
      <c r="G692" s="480"/>
      <c r="H692" s="481">
        <v>50.202016335272141</v>
      </c>
      <c r="I692" s="482">
        <v>350</v>
      </c>
      <c r="J692" s="483"/>
      <c r="K692" s="480"/>
      <c r="L692" s="481"/>
      <c r="M692" s="482"/>
      <c r="N692" s="483"/>
      <c r="O692" s="513"/>
      <c r="P692" s="514">
        <v>480</v>
      </c>
      <c r="Q692" s="486">
        <v>12.200000000000001</v>
      </c>
      <c r="R692" s="485">
        <v>0.93</v>
      </c>
      <c r="S692" s="515">
        <v>16</v>
      </c>
      <c r="T692" s="516">
        <v>240</v>
      </c>
      <c r="U692" s="490">
        <v>10</v>
      </c>
      <c r="V692" s="373"/>
      <c r="W692" s="391" t="s">
        <v>511</v>
      </c>
    </row>
    <row r="693" spans="1:23">
      <c r="A693" s="476" t="s">
        <v>1164</v>
      </c>
      <c r="B693" s="542">
        <v>218</v>
      </c>
      <c r="C693" s="543">
        <v>64.5</v>
      </c>
      <c r="D693" s="543">
        <v>54.6</v>
      </c>
      <c r="E693" s="544">
        <v>14.1</v>
      </c>
      <c r="F693" s="512"/>
      <c r="G693" s="480"/>
      <c r="H693" s="481"/>
      <c r="I693" s="482"/>
      <c r="J693" s="483">
        <v>47.7464829275686</v>
      </c>
      <c r="K693" s="480">
        <v>800</v>
      </c>
      <c r="L693" s="481"/>
      <c r="M693" s="482"/>
      <c r="N693" s="483"/>
      <c r="O693" s="513"/>
      <c r="P693" s="514">
        <v>1005</v>
      </c>
      <c r="Q693" s="486">
        <v>12.200000000000001</v>
      </c>
      <c r="R693" s="485">
        <v>0.93</v>
      </c>
      <c r="S693" s="515">
        <v>16</v>
      </c>
      <c r="T693" s="516">
        <v>240</v>
      </c>
      <c r="U693" s="490">
        <v>10</v>
      </c>
      <c r="V693" s="373"/>
      <c r="W693" s="391" t="s">
        <v>511</v>
      </c>
    </row>
    <row r="694" spans="1:23">
      <c r="A694" s="476" t="s">
        <v>1165</v>
      </c>
      <c r="B694" s="542">
        <v>218</v>
      </c>
      <c r="C694" s="543">
        <v>64.5</v>
      </c>
      <c r="D694" s="543">
        <v>54.6</v>
      </c>
      <c r="E694" s="544">
        <v>14.1</v>
      </c>
      <c r="F694" s="512"/>
      <c r="G694" s="480"/>
      <c r="H694" s="481"/>
      <c r="I694" s="482"/>
      <c r="J694" s="483"/>
      <c r="K694" s="480"/>
      <c r="L694" s="481">
        <v>43.688031878725276</v>
      </c>
      <c r="M694" s="482">
        <v>1400</v>
      </c>
      <c r="N694" s="483"/>
      <c r="O694" s="513"/>
      <c r="P694" s="514">
        <v>1676</v>
      </c>
      <c r="Q694" s="486">
        <v>12.200000000000001</v>
      </c>
      <c r="R694" s="485">
        <v>0.93</v>
      </c>
      <c r="S694" s="515">
        <v>16</v>
      </c>
      <c r="T694" s="516">
        <v>240</v>
      </c>
      <c r="U694" s="490">
        <v>10</v>
      </c>
      <c r="V694" s="373"/>
      <c r="W694" s="391" t="s">
        <v>511</v>
      </c>
    </row>
    <row r="695" spans="1:23">
      <c r="A695" s="476" t="s">
        <v>1166</v>
      </c>
      <c r="B695" s="542">
        <v>218</v>
      </c>
      <c r="C695" s="543">
        <v>64.5</v>
      </c>
      <c r="D695" s="543">
        <v>54.6</v>
      </c>
      <c r="E695" s="544">
        <v>14.1</v>
      </c>
      <c r="F695" s="512"/>
      <c r="G695" s="480"/>
      <c r="H695" s="481"/>
      <c r="I695" s="482"/>
      <c r="J695" s="483"/>
      <c r="K695" s="480"/>
      <c r="L695" s="481"/>
      <c r="M695" s="482"/>
      <c r="N695" s="483">
        <v>40.837285986285153</v>
      </c>
      <c r="O695" s="513">
        <v>1700</v>
      </c>
      <c r="P695" s="514">
        <v>2011</v>
      </c>
      <c r="Q695" s="486">
        <v>12.200000000000001</v>
      </c>
      <c r="R695" s="485">
        <v>0.93</v>
      </c>
      <c r="S695" s="515">
        <v>16</v>
      </c>
      <c r="T695" s="516">
        <v>240</v>
      </c>
      <c r="U695" s="490">
        <v>10</v>
      </c>
      <c r="V695" s="373"/>
      <c r="W695" s="391" t="s">
        <v>511</v>
      </c>
    </row>
    <row r="696" spans="1:23">
      <c r="A696" s="476" t="s">
        <v>1167</v>
      </c>
      <c r="B696" s="542">
        <v>216</v>
      </c>
      <c r="C696" s="543">
        <v>92.5</v>
      </c>
      <c r="D696" s="543">
        <v>53</v>
      </c>
      <c r="E696" s="544">
        <v>19.899999999999999</v>
      </c>
      <c r="F696" s="512"/>
      <c r="G696" s="480"/>
      <c r="H696" s="481">
        <v>49.482718670389282</v>
      </c>
      <c r="I696" s="482">
        <v>550</v>
      </c>
      <c r="J696" s="483"/>
      <c r="K696" s="480"/>
      <c r="L696" s="481"/>
      <c r="M696" s="482"/>
      <c r="N696" s="483"/>
      <c r="O696" s="513"/>
      <c r="P696" s="514">
        <v>699</v>
      </c>
      <c r="Q696" s="486">
        <v>12.200000000000001</v>
      </c>
      <c r="R696" s="485">
        <v>0.47</v>
      </c>
      <c r="S696" s="515">
        <v>7.7</v>
      </c>
      <c r="T696" s="516">
        <v>165</v>
      </c>
      <c r="U696" s="490">
        <v>10</v>
      </c>
      <c r="V696" s="373"/>
      <c r="W696" s="391" t="s">
        <v>511</v>
      </c>
    </row>
    <row r="697" spans="1:23">
      <c r="A697" s="476" t="s">
        <v>1168</v>
      </c>
      <c r="B697" s="542">
        <v>216</v>
      </c>
      <c r="C697" s="543">
        <v>92.5</v>
      </c>
      <c r="D697" s="543">
        <v>53</v>
      </c>
      <c r="E697" s="544">
        <v>19.899999999999999</v>
      </c>
      <c r="F697" s="512"/>
      <c r="G697" s="480"/>
      <c r="H697" s="481"/>
      <c r="I697" s="482"/>
      <c r="J697" s="483">
        <v>45.50447416401321</v>
      </c>
      <c r="K697" s="480">
        <v>1150</v>
      </c>
      <c r="L697" s="481"/>
      <c r="M697" s="482"/>
      <c r="N697" s="483"/>
      <c r="O697" s="513"/>
      <c r="P697" s="514">
        <v>1459</v>
      </c>
      <c r="Q697" s="486">
        <v>12.200000000000001</v>
      </c>
      <c r="R697" s="485">
        <v>0.47</v>
      </c>
      <c r="S697" s="515">
        <v>7.7</v>
      </c>
      <c r="T697" s="516">
        <v>165</v>
      </c>
      <c r="U697" s="490">
        <v>10</v>
      </c>
      <c r="V697" s="373"/>
      <c r="W697" s="391" t="s">
        <v>511</v>
      </c>
    </row>
    <row r="698" spans="1:23">
      <c r="A698" s="476" t="s">
        <v>1169</v>
      </c>
      <c r="B698" s="542">
        <v>216</v>
      </c>
      <c r="C698" s="543">
        <v>92.5</v>
      </c>
      <c r="D698" s="543">
        <v>53</v>
      </c>
      <c r="E698" s="544">
        <v>19.899999999999999</v>
      </c>
      <c r="F698" s="512"/>
      <c r="G698" s="480"/>
      <c r="H698" s="481"/>
      <c r="I698" s="482"/>
      <c r="J698" s="483"/>
      <c r="K698" s="480"/>
      <c r="L698" s="481">
        <v>33.533576381687716</v>
      </c>
      <c r="M698" s="482">
        <v>2150</v>
      </c>
      <c r="N698" s="483"/>
      <c r="O698" s="513"/>
      <c r="P698" s="514">
        <v>2432</v>
      </c>
      <c r="Q698" s="486">
        <v>12.200000000000001</v>
      </c>
      <c r="R698" s="485">
        <v>0.47</v>
      </c>
      <c r="S698" s="515">
        <v>7.7</v>
      </c>
      <c r="T698" s="516">
        <v>165</v>
      </c>
      <c r="U698" s="490">
        <v>10</v>
      </c>
      <c r="V698" s="373"/>
      <c r="W698" s="391" t="s">
        <v>511</v>
      </c>
    </row>
    <row r="699" spans="1:23">
      <c r="A699" s="476" t="s">
        <v>1170</v>
      </c>
      <c r="B699" s="542">
        <v>216</v>
      </c>
      <c r="C699" s="543">
        <v>92.5</v>
      </c>
      <c r="D699" s="543">
        <v>53</v>
      </c>
      <c r="E699" s="544">
        <v>19.899999999999999</v>
      </c>
      <c r="F699" s="512"/>
      <c r="G699" s="480"/>
      <c r="H699" s="481"/>
      <c r="I699" s="482"/>
      <c r="J699" s="483"/>
      <c r="K699" s="480"/>
      <c r="L699" s="481"/>
      <c r="M699" s="482"/>
      <c r="N699" s="483">
        <v>24.699622899069141</v>
      </c>
      <c r="O699" s="513">
        <v>2600</v>
      </c>
      <c r="P699" s="514">
        <v>2918</v>
      </c>
      <c r="Q699" s="486">
        <v>12.200000000000001</v>
      </c>
      <c r="R699" s="485">
        <v>0.47</v>
      </c>
      <c r="S699" s="515">
        <v>7.7</v>
      </c>
      <c r="T699" s="516">
        <v>165</v>
      </c>
      <c r="U699" s="490">
        <v>10</v>
      </c>
      <c r="V699" s="373"/>
      <c r="W699" s="391" t="s">
        <v>511</v>
      </c>
    </row>
    <row r="700" spans="1:23">
      <c r="A700" s="476" t="s">
        <v>1171</v>
      </c>
      <c r="B700" s="542">
        <v>18</v>
      </c>
      <c r="C700" s="543">
        <v>18</v>
      </c>
      <c r="D700" s="543">
        <v>6.12</v>
      </c>
      <c r="E700" s="544">
        <v>5.12</v>
      </c>
      <c r="F700" s="512"/>
      <c r="G700" s="480"/>
      <c r="H700" s="481"/>
      <c r="I700" s="482"/>
      <c r="J700" s="483"/>
      <c r="K700" s="480"/>
      <c r="L700" s="481">
        <v>4.82490774847009</v>
      </c>
      <c r="M700" s="482">
        <v>4750</v>
      </c>
      <c r="N700" s="483"/>
      <c r="O700" s="513"/>
      <c r="P700" s="514">
        <v>5478</v>
      </c>
      <c r="Q700" s="486">
        <v>1.9400000000000002</v>
      </c>
      <c r="R700" s="485">
        <v>2.9</v>
      </c>
      <c r="S700" s="515">
        <v>6.8</v>
      </c>
      <c r="T700" s="516">
        <v>72.8</v>
      </c>
      <c r="U700" s="490">
        <v>16</v>
      </c>
      <c r="V700" s="373"/>
      <c r="W700" s="391" t="s">
        <v>511</v>
      </c>
    </row>
    <row r="701" spans="1:23">
      <c r="A701" s="476" t="s">
        <v>1172</v>
      </c>
      <c r="B701" s="542">
        <v>34.5</v>
      </c>
      <c r="C701" s="543">
        <v>18</v>
      </c>
      <c r="D701" s="543">
        <v>11.6</v>
      </c>
      <c r="E701" s="544">
        <v>5.12</v>
      </c>
      <c r="F701" s="512"/>
      <c r="G701" s="480"/>
      <c r="H701" s="481"/>
      <c r="I701" s="482"/>
      <c r="J701" s="483"/>
      <c r="K701" s="480"/>
      <c r="L701" s="481">
        <v>9.9780405138429078</v>
      </c>
      <c r="M701" s="482">
        <v>2450</v>
      </c>
      <c r="N701" s="483"/>
      <c r="O701" s="513"/>
      <c r="P701" s="514">
        <v>2866</v>
      </c>
      <c r="Q701" s="486">
        <v>2.85</v>
      </c>
      <c r="R701" s="485">
        <v>3.55</v>
      </c>
      <c r="S701" s="515">
        <v>12</v>
      </c>
      <c r="T701" s="516">
        <v>139</v>
      </c>
      <c r="U701" s="490">
        <v>16</v>
      </c>
      <c r="V701" s="373"/>
      <c r="W701" s="391" t="s">
        <v>511</v>
      </c>
    </row>
    <row r="702" spans="1:23">
      <c r="A702" s="476" t="s">
        <v>1173</v>
      </c>
      <c r="B702" s="542">
        <v>34.5</v>
      </c>
      <c r="C702" s="543">
        <v>18</v>
      </c>
      <c r="D702" s="543">
        <v>11.6</v>
      </c>
      <c r="E702" s="544">
        <v>5.12</v>
      </c>
      <c r="F702" s="512"/>
      <c r="G702" s="480"/>
      <c r="H702" s="481"/>
      <c r="I702" s="482"/>
      <c r="J702" s="483"/>
      <c r="K702" s="480"/>
      <c r="L702" s="481"/>
      <c r="M702" s="482"/>
      <c r="N702" s="483">
        <v>6.8754935415698784</v>
      </c>
      <c r="O702" s="513">
        <v>3000</v>
      </c>
      <c r="P702" s="514">
        <v>3439</v>
      </c>
      <c r="Q702" s="486">
        <v>2.85</v>
      </c>
      <c r="R702" s="485">
        <v>3.55</v>
      </c>
      <c r="S702" s="515">
        <v>12</v>
      </c>
      <c r="T702" s="516">
        <v>139</v>
      </c>
      <c r="U702" s="490">
        <v>16</v>
      </c>
      <c r="V702" s="373"/>
      <c r="W702" s="391" t="s">
        <v>511</v>
      </c>
    </row>
    <row r="703" spans="1:23">
      <c r="A703" s="476" t="s">
        <v>1174</v>
      </c>
      <c r="B703" s="542">
        <v>64.5</v>
      </c>
      <c r="C703" s="543">
        <v>18</v>
      </c>
      <c r="D703" s="543">
        <v>21</v>
      </c>
      <c r="E703" s="544">
        <v>4.78</v>
      </c>
      <c r="F703" s="512"/>
      <c r="G703" s="480"/>
      <c r="H703" s="481"/>
      <c r="I703" s="482"/>
      <c r="J703" s="483"/>
      <c r="K703" s="480"/>
      <c r="L703" s="481">
        <v>18.636530433018713</v>
      </c>
      <c r="M703" s="482">
        <v>1240</v>
      </c>
      <c r="N703" s="483"/>
      <c r="O703" s="513"/>
      <c r="P703" s="514">
        <v>1491</v>
      </c>
      <c r="Q703" s="486">
        <v>4.75</v>
      </c>
      <c r="R703" s="485">
        <v>4.83</v>
      </c>
      <c r="S703" s="515">
        <v>19</v>
      </c>
      <c r="T703" s="516">
        <v>268</v>
      </c>
      <c r="U703" s="490">
        <v>16</v>
      </c>
      <c r="V703" s="373"/>
      <c r="W703" s="391" t="s">
        <v>511</v>
      </c>
    </row>
    <row r="704" spans="1:23">
      <c r="A704" s="476" t="s">
        <v>1175</v>
      </c>
      <c r="B704" s="542">
        <v>64.5</v>
      </c>
      <c r="C704" s="543">
        <v>18</v>
      </c>
      <c r="D704" s="543">
        <v>21</v>
      </c>
      <c r="E704" s="544">
        <v>4.78</v>
      </c>
      <c r="F704" s="512"/>
      <c r="G704" s="480"/>
      <c r="H704" s="481"/>
      <c r="I704" s="482"/>
      <c r="J704" s="483"/>
      <c r="K704" s="480"/>
      <c r="L704" s="481"/>
      <c r="M704" s="482"/>
      <c r="N704" s="483">
        <v>16.182532804310163</v>
      </c>
      <c r="O704" s="513">
        <v>1490</v>
      </c>
      <c r="P704" s="514">
        <v>1790</v>
      </c>
      <c r="Q704" s="486">
        <v>4.75</v>
      </c>
      <c r="R704" s="485">
        <v>4.83</v>
      </c>
      <c r="S704" s="515">
        <v>19</v>
      </c>
      <c r="T704" s="516">
        <v>268</v>
      </c>
      <c r="U704" s="490">
        <v>16</v>
      </c>
      <c r="V704" s="373"/>
      <c r="W704" s="391" t="s">
        <v>511</v>
      </c>
    </row>
    <row r="705" spans="1:23">
      <c r="A705" s="476" t="s">
        <v>1176</v>
      </c>
      <c r="B705" s="542">
        <v>18</v>
      </c>
      <c r="C705" s="543">
        <v>18</v>
      </c>
      <c r="D705" s="543">
        <v>6.12</v>
      </c>
      <c r="E705" s="544">
        <v>5.12</v>
      </c>
      <c r="F705" s="512"/>
      <c r="G705" s="480"/>
      <c r="H705" s="481"/>
      <c r="I705" s="482"/>
      <c r="J705" s="483">
        <v>4.9618894022767375</v>
      </c>
      <c r="K705" s="480">
        <v>2550</v>
      </c>
      <c r="L705" s="481"/>
      <c r="M705" s="482"/>
      <c r="N705" s="483"/>
      <c r="O705" s="513"/>
      <c r="P705" s="514">
        <v>3284</v>
      </c>
      <c r="Q705" s="486">
        <v>1.9400000000000002</v>
      </c>
      <c r="R705" s="485">
        <v>2.9</v>
      </c>
      <c r="S705" s="515">
        <v>6.8</v>
      </c>
      <c r="T705" s="516">
        <v>72.8</v>
      </c>
      <c r="U705" s="490">
        <v>16</v>
      </c>
      <c r="V705" s="373"/>
      <c r="W705" s="391" t="s">
        <v>511</v>
      </c>
    </row>
    <row r="706" spans="1:23">
      <c r="A706" s="476" t="s">
        <v>1177</v>
      </c>
      <c r="B706" s="542">
        <v>34.5</v>
      </c>
      <c r="C706" s="543">
        <v>18</v>
      </c>
      <c r="D706" s="543">
        <v>11.6</v>
      </c>
      <c r="E706" s="544">
        <v>5.12</v>
      </c>
      <c r="F706" s="512"/>
      <c r="G706" s="480"/>
      <c r="H706" s="481"/>
      <c r="I706" s="482"/>
      <c r="J706" s="483">
        <v>10.136945606160719</v>
      </c>
      <c r="K706" s="480">
        <v>1300</v>
      </c>
      <c r="L706" s="481"/>
      <c r="M706" s="482"/>
      <c r="N706" s="483"/>
      <c r="O706" s="513"/>
      <c r="P706" s="514">
        <v>1717</v>
      </c>
      <c r="Q706" s="486">
        <v>2.85</v>
      </c>
      <c r="R706" s="485">
        <v>3.55</v>
      </c>
      <c r="S706" s="515">
        <v>12</v>
      </c>
      <c r="T706" s="516">
        <v>139</v>
      </c>
      <c r="U706" s="490">
        <v>16</v>
      </c>
      <c r="V706" s="373"/>
      <c r="W706" s="391" t="s">
        <v>511</v>
      </c>
    </row>
    <row r="707" spans="1:23">
      <c r="A707" s="476" t="s">
        <v>1178</v>
      </c>
      <c r="B707" s="542">
        <v>64.5</v>
      </c>
      <c r="C707" s="543">
        <v>18</v>
      </c>
      <c r="D707" s="543">
        <v>21</v>
      </c>
      <c r="E707" s="544">
        <v>4.78</v>
      </c>
      <c r="F707" s="512"/>
      <c r="G707" s="480"/>
      <c r="H707" s="481"/>
      <c r="I707" s="482"/>
      <c r="J707" s="483">
        <v>18.813539541609121</v>
      </c>
      <c r="K707" s="480">
        <v>670</v>
      </c>
      <c r="L707" s="481"/>
      <c r="M707" s="482"/>
      <c r="N707" s="483"/>
      <c r="O707" s="513"/>
      <c r="P707" s="514">
        <v>893</v>
      </c>
      <c r="Q707" s="486">
        <v>4.75</v>
      </c>
      <c r="R707" s="485">
        <v>4.83</v>
      </c>
      <c r="S707" s="515">
        <v>19</v>
      </c>
      <c r="T707" s="516">
        <v>268</v>
      </c>
      <c r="U707" s="490">
        <v>16</v>
      </c>
      <c r="V707" s="373"/>
      <c r="W707" s="391" t="s">
        <v>511</v>
      </c>
    </row>
    <row r="708" spans="1:23">
      <c r="A708" s="476" t="s">
        <v>1179</v>
      </c>
      <c r="B708" s="542">
        <v>46.1</v>
      </c>
      <c r="C708" s="543">
        <v>18</v>
      </c>
      <c r="D708" s="543">
        <v>18.8</v>
      </c>
      <c r="E708" s="544">
        <v>5.67</v>
      </c>
      <c r="F708" s="512"/>
      <c r="G708" s="480"/>
      <c r="H708" s="481"/>
      <c r="I708" s="482"/>
      <c r="J708" s="483"/>
      <c r="K708" s="480"/>
      <c r="L708" s="481">
        <v>13.222102964557459</v>
      </c>
      <c r="M708" s="482">
        <v>1625</v>
      </c>
      <c r="N708" s="483"/>
      <c r="O708" s="513"/>
      <c r="P708" s="514">
        <v>1975</v>
      </c>
      <c r="Q708" s="486">
        <v>6.56</v>
      </c>
      <c r="R708" s="485">
        <v>3.39</v>
      </c>
      <c r="S708" s="515">
        <v>13</v>
      </c>
      <c r="T708" s="516">
        <v>203</v>
      </c>
      <c r="U708" s="490">
        <v>24</v>
      </c>
      <c r="V708" s="373"/>
      <c r="W708" s="391" t="s">
        <v>511</v>
      </c>
    </row>
    <row r="709" spans="1:23">
      <c r="A709" s="476" t="s">
        <v>1180</v>
      </c>
      <c r="B709" s="542">
        <v>46.1</v>
      </c>
      <c r="C709" s="543">
        <v>18</v>
      </c>
      <c r="D709" s="543">
        <v>18.8</v>
      </c>
      <c r="E709" s="544">
        <v>5.67</v>
      </c>
      <c r="F709" s="512"/>
      <c r="G709" s="480"/>
      <c r="H709" s="481"/>
      <c r="I709" s="482"/>
      <c r="J709" s="483"/>
      <c r="K709" s="480"/>
      <c r="L709" s="481"/>
      <c r="M709" s="482"/>
      <c r="N709" s="483">
        <v>10.713844949600761</v>
      </c>
      <c r="O709" s="513">
        <v>2050</v>
      </c>
      <c r="P709" s="514">
        <v>2370</v>
      </c>
      <c r="Q709" s="486">
        <v>6.56</v>
      </c>
      <c r="R709" s="485">
        <v>3.39</v>
      </c>
      <c r="S709" s="515">
        <v>13</v>
      </c>
      <c r="T709" s="516">
        <v>203</v>
      </c>
      <c r="U709" s="490">
        <v>24</v>
      </c>
      <c r="V709" s="373"/>
      <c r="W709" s="391" t="s">
        <v>511</v>
      </c>
    </row>
    <row r="710" spans="1:23">
      <c r="A710" s="476" t="s">
        <v>1181</v>
      </c>
      <c r="B710" s="542">
        <v>115</v>
      </c>
      <c r="C710" s="543">
        <v>23.4</v>
      </c>
      <c r="D710" s="543">
        <v>33.5</v>
      </c>
      <c r="E710" s="544">
        <v>5.22</v>
      </c>
      <c r="F710" s="512"/>
      <c r="G710" s="480"/>
      <c r="H710" s="481"/>
      <c r="I710" s="482"/>
      <c r="J710" s="483"/>
      <c r="K710" s="480"/>
      <c r="L710" s="481">
        <v>26.795904964199107</v>
      </c>
      <c r="M710" s="482">
        <v>825</v>
      </c>
      <c r="N710" s="483"/>
      <c r="O710" s="513"/>
      <c r="P710" s="514">
        <v>1023</v>
      </c>
      <c r="Q710" s="486">
        <v>11.799999999999999</v>
      </c>
      <c r="R710" s="485">
        <v>4.4000000000000004</v>
      </c>
      <c r="S710" s="515">
        <v>22</v>
      </c>
      <c r="T710" s="516">
        <v>390</v>
      </c>
      <c r="U710" s="490">
        <v>24</v>
      </c>
      <c r="V710" s="373"/>
      <c r="W710" s="391" t="s">
        <v>511</v>
      </c>
    </row>
    <row r="711" spans="1:23">
      <c r="A711" s="476" t="s">
        <v>1182</v>
      </c>
      <c r="B711" s="542">
        <v>115</v>
      </c>
      <c r="C711" s="543">
        <v>23.4</v>
      </c>
      <c r="D711" s="543">
        <v>33.5</v>
      </c>
      <c r="E711" s="544">
        <v>5.22</v>
      </c>
      <c r="F711" s="512"/>
      <c r="G711" s="480"/>
      <c r="H711" s="481"/>
      <c r="I711" s="482"/>
      <c r="J711" s="483"/>
      <c r="K711" s="480"/>
      <c r="L711" s="481"/>
      <c r="M711" s="482"/>
      <c r="N711" s="483">
        <v>24.931661036070302</v>
      </c>
      <c r="O711" s="513">
        <v>1015</v>
      </c>
      <c r="P711" s="514">
        <v>1228</v>
      </c>
      <c r="Q711" s="486">
        <v>11.799999999999999</v>
      </c>
      <c r="R711" s="485">
        <v>4.4000000000000004</v>
      </c>
      <c r="S711" s="515">
        <v>22</v>
      </c>
      <c r="T711" s="516">
        <v>390</v>
      </c>
      <c r="U711" s="490">
        <v>24</v>
      </c>
      <c r="V711" s="373"/>
      <c r="W711" s="391" t="s">
        <v>511</v>
      </c>
    </row>
    <row r="712" spans="1:23">
      <c r="A712" s="476" t="s">
        <v>1183</v>
      </c>
      <c r="B712" s="542">
        <v>218</v>
      </c>
      <c r="C712" s="543">
        <v>26.1</v>
      </c>
      <c r="D712" s="543">
        <v>59.9</v>
      </c>
      <c r="E712" s="544">
        <v>5.47</v>
      </c>
      <c r="F712" s="512"/>
      <c r="G712" s="480"/>
      <c r="H712" s="481"/>
      <c r="I712" s="482"/>
      <c r="J712" s="483"/>
      <c r="K712" s="480"/>
      <c r="L712" s="481">
        <v>51.264644827494706</v>
      </c>
      <c r="M712" s="482">
        <v>475</v>
      </c>
      <c r="N712" s="483"/>
      <c r="O712" s="513"/>
      <c r="P712" s="514">
        <v>597</v>
      </c>
      <c r="Q712" s="486">
        <v>22.1</v>
      </c>
      <c r="R712" s="485">
        <v>5.92</v>
      </c>
      <c r="S712" s="515">
        <v>35</v>
      </c>
      <c r="T712" s="516">
        <v>669</v>
      </c>
      <c r="U712" s="490">
        <v>24</v>
      </c>
      <c r="V712" s="373"/>
      <c r="W712" s="391" t="s">
        <v>511</v>
      </c>
    </row>
    <row r="713" spans="1:23">
      <c r="A713" s="476" t="s">
        <v>1184</v>
      </c>
      <c r="B713" s="542">
        <v>218</v>
      </c>
      <c r="C713" s="543">
        <v>26.1</v>
      </c>
      <c r="D713" s="543">
        <v>59.9</v>
      </c>
      <c r="E713" s="544">
        <v>5.47</v>
      </c>
      <c r="F713" s="512"/>
      <c r="G713" s="480"/>
      <c r="H713" s="481"/>
      <c r="I713" s="482"/>
      <c r="J713" s="483"/>
      <c r="K713" s="480"/>
      <c r="L713" s="481"/>
      <c r="M713" s="482"/>
      <c r="N713" s="483">
        <v>49.392913373346836</v>
      </c>
      <c r="O713" s="513">
        <v>580</v>
      </c>
      <c r="P713" s="514">
        <v>717</v>
      </c>
      <c r="Q713" s="486">
        <v>22.1</v>
      </c>
      <c r="R713" s="485">
        <v>5.92</v>
      </c>
      <c r="S713" s="515">
        <v>35</v>
      </c>
      <c r="T713" s="516">
        <v>669</v>
      </c>
      <c r="U713" s="490">
        <v>24</v>
      </c>
      <c r="V713" s="373"/>
      <c r="W713" s="391" t="s">
        <v>511</v>
      </c>
    </row>
    <row r="714" spans="1:23">
      <c r="A714" s="476" t="s">
        <v>1185</v>
      </c>
      <c r="B714" s="542">
        <v>46.1</v>
      </c>
      <c r="C714" s="543">
        <v>18</v>
      </c>
      <c r="D714" s="543">
        <v>18.8</v>
      </c>
      <c r="E714" s="544">
        <v>5.67</v>
      </c>
      <c r="F714" s="512"/>
      <c r="G714" s="480"/>
      <c r="H714" s="481"/>
      <c r="I714" s="482"/>
      <c r="J714" s="483">
        <v>16.00592325412811</v>
      </c>
      <c r="K714" s="480">
        <v>880</v>
      </c>
      <c r="L714" s="481"/>
      <c r="M714" s="482"/>
      <c r="N714" s="483"/>
      <c r="O714" s="513"/>
      <c r="P714" s="514">
        <v>1183</v>
      </c>
      <c r="Q714" s="486">
        <v>6.56</v>
      </c>
      <c r="R714" s="485">
        <v>3.39</v>
      </c>
      <c r="S714" s="515">
        <v>13</v>
      </c>
      <c r="T714" s="516">
        <v>203</v>
      </c>
      <c r="U714" s="490">
        <v>24</v>
      </c>
      <c r="V714" s="373"/>
      <c r="W714" s="391" t="s">
        <v>511</v>
      </c>
    </row>
    <row r="715" spans="1:23">
      <c r="A715" s="476" t="s">
        <v>1186</v>
      </c>
      <c r="B715" s="542">
        <v>115</v>
      </c>
      <c r="C715" s="543">
        <v>23.4</v>
      </c>
      <c r="D715" s="543">
        <v>33.5</v>
      </c>
      <c r="E715" s="544">
        <v>5.22</v>
      </c>
      <c r="F715" s="512"/>
      <c r="G715" s="480"/>
      <c r="H715" s="481"/>
      <c r="I715" s="482"/>
      <c r="J715" s="483">
        <v>29.506253494564866</v>
      </c>
      <c r="K715" s="480">
        <v>445</v>
      </c>
      <c r="L715" s="481"/>
      <c r="M715" s="482"/>
      <c r="N715" s="483"/>
      <c r="O715" s="513"/>
      <c r="P715" s="514">
        <v>612</v>
      </c>
      <c r="Q715" s="486">
        <v>11.799999999999999</v>
      </c>
      <c r="R715" s="485">
        <v>4.4000000000000004</v>
      </c>
      <c r="S715" s="515">
        <v>22</v>
      </c>
      <c r="T715" s="516">
        <v>390</v>
      </c>
      <c r="U715" s="490">
        <v>24</v>
      </c>
      <c r="V715" s="373"/>
      <c r="W715" s="391" t="s">
        <v>511</v>
      </c>
    </row>
    <row r="716" spans="1:23">
      <c r="A716" s="476" t="s">
        <v>1187</v>
      </c>
      <c r="B716" s="542">
        <v>218</v>
      </c>
      <c r="C716" s="543">
        <v>26.1</v>
      </c>
      <c r="D716" s="543">
        <v>59.9</v>
      </c>
      <c r="E716" s="544">
        <v>5.47</v>
      </c>
      <c r="F716" s="512"/>
      <c r="G716" s="480"/>
      <c r="H716" s="481"/>
      <c r="I716" s="482"/>
      <c r="J716" s="483">
        <v>53.858032742297389</v>
      </c>
      <c r="K716" s="480">
        <v>250</v>
      </c>
      <c r="L716" s="481"/>
      <c r="M716" s="482"/>
      <c r="N716" s="483"/>
      <c r="O716" s="513"/>
      <c r="P716" s="514">
        <v>357</v>
      </c>
      <c r="Q716" s="486">
        <v>22.1</v>
      </c>
      <c r="R716" s="485">
        <v>5.92</v>
      </c>
      <c r="S716" s="515">
        <v>35</v>
      </c>
      <c r="T716" s="516">
        <v>669</v>
      </c>
      <c r="U716" s="490">
        <v>24</v>
      </c>
      <c r="V716" s="373"/>
      <c r="W716" s="391" t="s">
        <v>511</v>
      </c>
    </row>
    <row r="717" spans="1:23">
      <c r="A717" s="476" t="s">
        <v>1188</v>
      </c>
      <c r="B717" s="542">
        <v>152</v>
      </c>
      <c r="C717" s="543">
        <v>20.8</v>
      </c>
      <c r="D717" s="543">
        <v>43.4</v>
      </c>
      <c r="E717" s="544">
        <v>4.95</v>
      </c>
      <c r="F717" s="512"/>
      <c r="G717" s="480"/>
      <c r="H717" s="481"/>
      <c r="I717" s="482"/>
      <c r="J717" s="483"/>
      <c r="K717" s="480"/>
      <c r="L717" s="481">
        <v>35.571129781038607</v>
      </c>
      <c r="M717" s="482">
        <v>600</v>
      </c>
      <c r="N717" s="483"/>
      <c r="O717" s="513"/>
      <c r="P717" s="514">
        <v>744</v>
      </c>
      <c r="Q717" s="486">
        <v>32.5</v>
      </c>
      <c r="R717" s="485">
        <v>6.26</v>
      </c>
      <c r="S717" s="515">
        <v>23</v>
      </c>
      <c r="T717" s="516">
        <v>534</v>
      </c>
      <c r="U717" s="490">
        <v>32</v>
      </c>
      <c r="V717" s="373"/>
      <c r="W717" s="391" t="s">
        <v>511</v>
      </c>
    </row>
    <row r="718" spans="1:23">
      <c r="A718" s="476" t="s">
        <v>1189</v>
      </c>
      <c r="B718" s="542">
        <v>152</v>
      </c>
      <c r="C718" s="543">
        <v>20.8</v>
      </c>
      <c r="D718" s="543">
        <v>43.4</v>
      </c>
      <c r="E718" s="544">
        <v>4.95</v>
      </c>
      <c r="F718" s="512"/>
      <c r="G718" s="480"/>
      <c r="H718" s="481"/>
      <c r="I718" s="482"/>
      <c r="J718" s="483"/>
      <c r="K718" s="480"/>
      <c r="L718" s="481"/>
      <c r="M718" s="482"/>
      <c r="N718" s="483">
        <v>33.814974895278034</v>
      </c>
      <c r="O718" s="513">
        <v>730</v>
      </c>
      <c r="P718" s="514">
        <v>894</v>
      </c>
      <c r="Q718" s="486">
        <v>32.5</v>
      </c>
      <c r="R718" s="485">
        <v>6.26</v>
      </c>
      <c r="S718" s="515">
        <v>23</v>
      </c>
      <c r="T718" s="516">
        <v>534</v>
      </c>
      <c r="U718" s="490">
        <v>32</v>
      </c>
      <c r="V718" s="373"/>
      <c r="W718" s="391" t="s">
        <v>511</v>
      </c>
    </row>
    <row r="719" spans="1:23">
      <c r="A719" s="476" t="s">
        <v>1190</v>
      </c>
      <c r="B719" s="542">
        <v>319</v>
      </c>
      <c r="C719" s="543">
        <v>26.1</v>
      </c>
      <c r="D719" s="543">
        <v>79.31</v>
      </c>
      <c r="E719" s="544">
        <v>5.39</v>
      </c>
      <c r="F719" s="512"/>
      <c r="G719" s="480"/>
      <c r="H719" s="481"/>
      <c r="I719" s="482"/>
      <c r="J719" s="483"/>
      <c r="K719" s="480"/>
      <c r="L719" s="481">
        <v>67.254331666546648</v>
      </c>
      <c r="M719" s="482">
        <v>350</v>
      </c>
      <c r="N719" s="483"/>
      <c r="O719" s="513"/>
      <c r="P719" s="514">
        <v>443</v>
      </c>
      <c r="Q719" s="486">
        <v>59.7</v>
      </c>
      <c r="R719" s="485">
        <v>6.4</v>
      </c>
      <c r="S719" s="515">
        <v>32</v>
      </c>
      <c r="T719" s="516">
        <v>901</v>
      </c>
      <c r="U719" s="490">
        <v>32</v>
      </c>
      <c r="V719" s="373"/>
      <c r="W719" s="391" t="s">
        <v>511</v>
      </c>
    </row>
    <row r="720" spans="1:23">
      <c r="A720" s="476" t="s">
        <v>1191</v>
      </c>
      <c r="B720" s="542">
        <v>319</v>
      </c>
      <c r="C720" s="543">
        <v>26.1</v>
      </c>
      <c r="D720" s="543">
        <v>79.31</v>
      </c>
      <c r="E720" s="544">
        <v>5.39</v>
      </c>
      <c r="F720" s="512"/>
      <c r="G720" s="480"/>
      <c r="H720" s="481"/>
      <c r="I720" s="482"/>
      <c r="J720" s="483"/>
      <c r="K720" s="480"/>
      <c r="L720" s="481"/>
      <c r="M720" s="482"/>
      <c r="N720" s="483">
        <v>64.846386115581552</v>
      </c>
      <c r="O720" s="513">
        <v>430</v>
      </c>
      <c r="P720" s="514">
        <v>532</v>
      </c>
      <c r="Q720" s="486">
        <v>59.7</v>
      </c>
      <c r="R720" s="485">
        <v>6.4</v>
      </c>
      <c r="S720" s="515">
        <v>32</v>
      </c>
      <c r="T720" s="516">
        <v>901</v>
      </c>
      <c r="U720" s="490">
        <v>32</v>
      </c>
      <c r="V720" s="373"/>
      <c r="W720" s="391" t="s">
        <v>511</v>
      </c>
    </row>
    <row r="721" spans="1:23">
      <c r="A721" s="476" t="s">
        <v>1192</v>
      </c>
      <c r="B721" s="542">
        <v>637</v>
      </c>
      <c r="C721" s="543">
        <v>36.700000000000003</v>
      </c>
      <c r="D721" s="543">
        <v>143</v>
      </c>
      <c r="E721" s="544">
        <v>6.76</v>
      </c>
      <c r="F721" s="512"/>
      <c r="G721" s="480"/>
      <c r="H721" s="481"/>
      <c r="I721" s="482"/>
      <c r="J721" s="483"/>
      <c r="K721" s="480"/>
      <c r="L721" s="481">
        <v>122.74824985962429</v>
      </c>
      <c r="M721" s="482">
        <v>240</v>
      </c>
      <c r="N721" s="483"/>
      <c r="O721" s="513"/>
      <c r="P721" s="514">
        <v>307</v>
      </c>
      <c r="Q721" s="486">
        <v>114</v>
      </c>
      <c r="R721" s="485">
        <v>5.75</v>
      </c>
      <c r="S721" s="515">
        <v>34</v>
      </c>
      <c r="T721" s="516">
        <v>1300</v>
      </c>
      <c r="U721" s="490">
        <v>32</v>
      </c>
      <c r="V721" s="373"/>
      <c r="W721" s="391" t="s">
        <v>511</v>
      </c>
    </row>
    <row r="722" spans="1:23">
      <c r="A722" s="476" t="s">
        <v>1193</v>
      </c>
      <c r="B722" s="542">
        <v>637</v>
      </c>
      <c r="C722" s="543">
        <v>36.700000000000003</v>
      </c>
      <c r="D722" s="543">
        <v>143</v>
      </c>
      <c r="E722" s="544">
        <v>6.76</v>
      </c>
      <c r="F722" s="512"/>
      <c r="G722" s="480"/>
      <c r="H722" s="481"/>
      <c r="I722" s="482"/>
      <c r="J722" s="483"/>
      <c r="K722" s="480"/>
      <c r="L722" s="481"/>
      <c r="M722" s="482"/>
      <c r="N722" s="483">
        <v>119.2070523758296</v>
      </c>
      <c r="O722" s="513">
        <v>300</v>
      </c>
      <c r="P722" s="514">
        <v>369</v>
      </c>
      <c r="Q722" s="486">
        <v>114</v>
      </c>
      <c r="R722" s="485">
        <v>5.75</v>
      </c>
      <c r="S722" s="515">
        <v>34</v>
      </c>
      <c r="T722" s="516">
        <v>1300</v>
      </c>
      <c r="U722" s="490">
        <v>32</v>
      </c>
      <c r="V722" s="373"/>
      <c r="W722" s="391" t="s">
        <v>511</v>
      </c>
    </row>
    <row r="723" spans="1:23">
      <c r="A723" s="476" t="s">
        <v>1194</v>
      </c>
      <c r="B723" s="542">
        <v>152</v>
      </c>
      <c r="C723" s="543">
        <v>20.8</v>
      </c>
      <c r="D723" s="543">
        <v>43.4</v>
      </c>
      <c r="E723" s="544">
        <v>4.95</v>
      </c>
      <c r="F723" s="512"/>
      <c r="G723" s="480"/>
      <c r="H723" s="481"/>
      <c r="I723" s="482"/>
      <c r="J723" s="483">
        <v>38.505228167394037</v>
      </c>
      <c r="K723" s="480">
        <v>310</v>
      </c>
      <c r="L723" s="481"/>
      <c r="M723" s="482"/>
      <c r="N723" s="483"/>
      <c r="O723" s="513"/>
      <c r="P723" s="514">
        <v>445</v>
      </c>
      <c r="Q723" s="486">
        <v>32.5</v>
      </c>
      <c r="R723" s="485">
        <v>6.26</v>
      </c>
      <c r="S723" s="515">
        <v>23</v>
      </c>
      <c r="T723" s="516">
        <v>534</v>
      </c>
      <c r="U723" s="490">
        <v>32</v>
      </c>
      <c r="V723" s="373"/>
      <c r="W723" s="391" t="s">
        <v>511</v>
      </c>
    </row>
    <row r="724" spans="1:23">
      <c r="A724" s="476" t="s">
        <v>1195</v>
      </c>
      <c r="B724" s="542">
        <v>319</v>
      </c>
      <c r="C724" s="543">
        <v>26.1</v>
      </c>
      <c r="D724" s="543">
        <v>79.31</v>
      </c>
      <c r="E724" s="544">
        <v>5.39</v>
      </c>
      <c r="F724" s="512"/>
      <c r="G724" s="480"/>
      <c r="H724" s="481"/>
      <c r="I724" s="482"/>
      <c r="J724" s="483">
        <v>71.354466152866408</v>
      </c>
      <c r="K724" s="480">
        <v>180</v>
      </c>
      <c r="L724" s="481"/>
      <c r="M724" s="482"/>
      <c r="N724" s="483"/>
      <c r="O724" s="513"/>
      <c r="P724" s="514">
        <v>265</v>
      </c>
      <c r="Q724" s="486">
        <v>59.7</v>
      </c>
      <c r="R724" s="485">
        <v>6.4</v>
      </c>
      <c r="S724" s="515">
        <v>32</v>
      </c>
      <c r="T724" s="516">
        <v>901</v>
      </c>
      <c r="U724" s="490">
        <v>32</v>
      </c>
      <c r="V724" s="373"/>
      <c r="W724" s="391" t="s">
        <v>511</v>
      </c>
    </row>
    <row r="725" spans="1:23">
      <c r="A725" s="476" t="s">
        <v>1196</v>
      </c>
      <c r="B725" s="542">
        <v>637</v>
      </c>
      <c r="C725" s="543">
        <v>36.700000000000003</v>
      </c>
      <c r="D725" s="543">
        <v>143</v>
      </c>
      <c r="E725" s="544">
        <v>6.76</v>
      </c>
      <c r="F725" s="512"/>
      <c r="G725" s="480"/>
      <c r="H725" s="481"/>
      <c r="I725" s="482"/>
      <c r="J725" s="483">
        <v>128.72451797272495</v>
      </c>
      <c r="K725" s="480">
        <v>125</v>
      </c>
      <c r="L725" s="481"/>
      <c r="M725" s="482"/>
      <c r="N725" s="483"/>
      <c r="O725" s="513"/>
      <c r="P725" s="514">
        <v>184</v>
      </c>
      <c r="Q725" s="486">
        <v>114</v>
      </c>
      <c r="R725" s="485">
        <v>5.75</v>
      </c>
      <c r="S725" s="515">
        <v>34</v>
      </c>
      <c r="T725" s="516">
        <v>1300</v>
      </c>
      <c r="U725" s="490">
        <v>32</v>
      </c>
      <c r="V725" s="373"/>
      <c r="W725" s="391" t="s">
        <v>511</v>
      </c>
    </row>
    <row r="726" spans="1:23">
      <c r="A726" s="476" t="s">
        <v>1197</v>
      </c>
      <c r="B726" s="542">
        <v>994</v>
      </c>
      <c r="C726" s="543">
        <v>151</v>
      </c>
      <c r="D726" s="543">
        <v>325</v>
      </c>
      <c r="E726" s="544">
        <v>43.7</v>
      </c>
      <c r="F726" s="512"/>
      <c r="G726" s="480"/>
      <c r="H726" s="481"/>
      <c r="I726" s="482"/>
      <c r="J726" s="483"/>
      <c r="K726" s="480"/>
      <c r="L726" s="481">
        <v>109.48238123518914</v>
      </c>
      <c r="M726" s="482">
        <v>785</v>
      </c>
      <c r="N726" s="483"/>
      <c r="O726" s="513"/>
      <c r="P726" s="514">
        <v>872</v>
      </c>
      <c r="Q726" s="486">
        <v>267</v>
      </c>
      <c r="R726" s="485">
        <v>0.27600000000000002</v>
      </c>
      <c r="S726" s="515">
        <v>2.5</v>
      </c>
      <c r="T726" s="516">
        <v>648</v>
      </c>
      <c r="U726" s="490">
        <v>38</v>
      </c>
      <c r="V726" s="373"/>
      <c r="W726" s="391" t="s">
        <v>511</v>
      </c>
    </row>
    <row r="727" spans="1:23">
      <c r="A727" s="476" t="s">
        <v>1198</v>
      </c>
      <c r="B727" s="542">
        <v>1451</v>
      </c>
      <c r="C727" s="543">
        <v>171</v>
      </c>
      <c r="D727" s="543">
        <v>445</v>
      </c>
      <c r="E727" s="544">
        <v>46.5</v>
      </c>
      <c r="F727" s="512"/>
      <c r="G727" s="480"/>
      <c r="H727" s="481"/>
      <c r="I727" s="482"/>
      <c r="J727" s="483"/>
      <c r="K727" s="480"/>
      <c r="L727" s="481">
        <v>239.54167706034417</v>
      </c>
      <c r="M727" s="482">
        <v>590</v>
      </c>
      <c r="N727" s="483"/>
      <c r="O727" s="513"/>
      <c r="P727" s="514">
        <v>685</v>
      </c>
      <c r="Q727" s="486">
        <v>396</v>
      </c>
      <c r="R727" s="485">
        <v>0.29199999999999998</v>
      </c>
      <c r="S727" s="515">
        <v>2.7</v>
      </c>
      <c r="T727" s="516">
        <v>585</v>
      </c>
      <c r="U727" s="490">
        <v>38</v>
      </c>
      <c r="V727" s="373"/>
      <c r="W727" s="391" t="s">
        <v>511</v>
      </c>
    </row>
    <row r="728" spans="1:23">
      <c r="A728" s="476" t="s">
        <v>1199</v>
      </c>
      <c r="B728" s="542">
        <v>1451</v>
      </c>
      <c r="C728" s="543">
        <v>171</v>
      </c>
      <c r="D728" s="543">
        <v>445</v>
      </c>
      <c r="E728" s="544">
        <v>46.5</v>
      </c>
      <c r="F728" s="512"/>
      <c r="G728" s="480"/>
      <c r="H728" s="481"/>
      <c r="I728" s="482"/>
      <c r="J728" s="483"/>
      <c r="K728" s="480"/>
      <c r="L728" s="481"/>
      <c r="M728" s="482"/>
      <c r="N728" s="483">
        <v>139.13728616498514</v>
      </c>
      <c r="O728" s="513">
        <v>710</v>
      </c>
      <c r="P728" s="514">
        <v>822</v>
      </c>
      <c r="Q728" s="486">
        <v>396</v>
      </c>
      <c r="R728" s="485">
        <v>0.29199999999999998</v>
      </c>
      <c r="S728" s="515">
        <v>2.7</v>
      </c>
      <c r="T728" s="516">
        <v>585</v>
      </c>
      <c r="U728" s="490">
        <v>38</v>
      </c>
      <c r="V728" s="373"/>
      <c r="W728" s="391" t="s">
        <v>511</v>
      </c>
    </row>
    <row r="729" spans="1:23">
      <c r="A729" s="476" t="s">
        <v>1200</v>
      </c>
      <c r="B729" s="542">
        <v>1932</v>
      </c>
      <c r="C729" s="543">
        <v>171</v>
      </c>
      <c r="D729" s="543">
        <v>560</v>
      </c>
      <c r="E729" s="544">
        <v>44</v>
      </c>
      <c r="F729" s="512"/>
      <c r="G729" s="480"/>
      <c r="H729" s="481"/>
      <c r="I729" s="482"/>
      <c r="J729" s="483"/>
      <c r="K729" s="480"/>
      <c r="L729" s="481">
        <v>374.83733148884318</v>
      </c>
      <c r="M729" s="482">
        <v>435</v>
      </c>
      <c r="N729" s="483"/>
      <c r="O729" s="513"/>
      <c r="P729" s="514">
        <v>516</v>
      </c>
      <c r="Q729" s="486">
        <v>542</v>
      </c>
      <c r="R729" s="485">
        <v>0.373</v>
      </c>
      <c r="S729" s="515">
        <v>4.3</v>
      </c>
      <c r="T729" s="516">
        <v>775</v>
      </c>
      <c r="U729" s="490">
        <v>38</v>
      </c>
      <c r="V729" s="373"/>
      <c r="W729" s="391" t="s">
        <v>511</v>
      </c>
    </row>
    <row r="730" spans="1:23">
      <c r="A730" s="476" t="s">
        <v>1201</v>
      </c>
      <c r="B730" s="542">
        <v>1932</v>
      </c>
      <c r="C730" s="543">
        <v>171</v>
      </c>
      <c r="D730" s="543">
        <v>560</v>
      </c>
      <c r="E730" s="544">
        <v>44</v>
      </c>
      <c r="F730" s="512"/>
      <c r="G730" s="480"/>
      <c r="H730" s="481"/>
      <c r="I730" s="482"/>
      <c r="J730" s="483"/>
      <c r="K730" s="480"/>
      <c r="L730" s="481"/>
      <c r="M730" s="482"/>
      <c r="N730" s="483">
        <v>302.72162633703306</v>
      </c>
      <c r="O730" s="513">
        <v>535</v>
      </c>
      <c r="P730" s="514">
        <v>619</v>
      </c>
      <c r="Q730" s="486">
        <v>542</v>
      </c>
      <c r="R730" s="485">
        <v>0.373</v>
      </c>
      <c r="S730" s="515">
        <v>4.3</v>
      </c>
      <c r="T730" s="516">
        <v>775</v>
      </c>
      <c r="U730" s="490">
        <v>38</v>
      </c>
      <c r="V730" s="373"/>
      <c r="W730" s="391" t="s">
        <v>511</v>
      </c>
    </row>
    <row r="731" spans="1:23">
      <c r="A731" s="476" t="s">
        <v>1202</v>
      </c>
      <c r="B731" s="542">
        <v>2400</v>
      </c>
      <c r="C731" s="543">
        <v>171</v>
      </c>
      <c r="D731" s="543">
        <v>672</v>
      </c>
      <c r="E731" s="544">
        <v>42.8</v>
      </c>
      <c r="F731" s="512"/>
      <c r="G731" s="480"/>
      <c r="H731" s="481"/>
      <c r="I731" s="482"/>
      <c r="J731" s="483"/>
      <c r="K731" s="480"/>
      <c r="L731" s="481">
        <v>502.32108656444967</v>
      </c>
      <c r="M731" s="482">
        <v>340</v>
      </c>
      <c r="N731" s="483"/>
      <c r="O731" s="513"/>
      <c r="P731" s="514">
        <v>413</v>
      </c>
      <c r="Q731" s="486">
        <v>648</v>
      </c>
      <c r="R731" s="485">
        <v>0.45500000000000002</v>
      </c>
      <c r="S731" s="515">
        <v>4.5</v>
      </c>
      <c r="T731" s="516">
        <v>970</v>
      </c>
      <c r="U731" s="490">
        <v>38</v>
      </c>
      <c r="V731" s="373"/>
      <c r="W731" s="391" t="s">
        <v>511</v>
      </c>
    </row>
    <row r="732" spans="1:23">
      <c r="A732" s="476" t="s">
        <v>1203</v>
      </c>
      <c r="B732" s="542">
        <v>2400</v>
      </c>
      <c r="C732" s="543">
        <v>171</v>
      </c>
      <c r="D732" s="543">
        <v>672</v>
      </c>
      <c r="E732" s="544">
        <v>42.8</v>
      </c>
      <c r="F732" s="512"/>
      <c r="G732" s="480"/>
      <c r="H732" s="481"/>
      <c r="I732" s="482"/>
      <c r="J732" s="483"/>
      <c r="K732" s="480"/>
      <c r="L732" s="481"/>
      <c r="M732" s="482"/>
      <c r="N732" s="483">
        <v>450.74953525668928</v>
      </c>
      <c r="O732" s="513">
        <v>420</v>
      </c>
      <c r="P732" s="514">
        <v>495</v>
      </c>
      <c r="Q732" s="486">
        <v>648</v>
      </c>
      <c r="R732" s="485">
        <v>0.45500000000000002</v>
      </c>
      <c r="S732" s="515">
        <v>4.5</v>
      </c>
      <c r="T732" s="516">
        <v>970</v>
      </c>
      <c r="U732" s="490">
        <v>38</v>
      </c>
      <c r="V732" s="373"/>
      <c r="W732" s="391" t="s">
        <v>511</v>
      </c>
    </row>
    <row r="733" spans="1:23">
      <c r="A733" s="476" t="s">
        <v>1204</v>
      </c>
      <c r="B733" s="542">
        <v>994</v>
      </c>
      <c r="C733" s="543">
        <v>151</v>
      </c>
      <c r="D733" s="543">
        <v>325</v>
      </c>
      <c r="E733" s="544">
        <v>43.7</v>
      </c>
      <c r="F733" s="512"/>
      <c r="G733" s="480"/>
      <c r="H733" s="481"/>
      <c r="I733" s="482"/>
      <c r="J733" s="483">
        <v>252.45952847951898</v>
      </c>
      <c r="K733" s="480">
        <v>400</v>
      </c>
      <c r="L733" s="481"/>
      <c r="M733" s="482"/>
      <c r="N733" s="483"/>
      <c r="O733" s="513"/>
      <c r="P733" s="514">
        <v>523</v>
      </c>
      <c r="Q733" s="486">
        <v>267</v>
      </c>
      <c r="R733" s="485">
        <v>0.27600000000000002</v>
      </c>
      <c r="S733" s="515">
        <v>2.5</v>
      </c>
      <c r="T733" s="516">
        <v>648</v>
      </c>
      <c r="U733" s="490">
        <v>38</v>
      </c>
      <c r="V733" s="373"/>
      <c r="W733" s="391" t="s">
        <v>511</v>
      </c>
    </row>
    <row r="734" spans="1:23">
      <c r="A734" s="476" t="s">
        <v>1205</v>
      </c>
      <c r="B734" s="542">
        <v>1451</v>
      </c>
      <c r="C734" s="543">
        <v>171</v>
      </c>
      <c r="D734" s="543">
        <v>445</v>
      </c>
      <c r="E734" s="544">
        <v>46.5</v>
      </c>
      <c r="F734" s="512"/>
      <c r="G734" s="480"/>
      <c r="H734" s="481"/>
      <c r="I734" s="482"/>
      <c r="J734" s="483">
        <v>356.90495988357532</v>
      </c>
      <c r="K734" s="480">
        <v>320</v>
      </c>
      <c r="L734" s="481"/>
      <c r="M734" s="482"/>
      <c r="N734" s="483"/>
      <c r="O734" s="513"/>
      <c r="P734" s="514">
        <v>411</v>
      </c>
      <c r="Q734" s="486">
        <v>396</v>
      </c>
      <c r="R734" s="485">
        <v>0.29199999999999998</v>
      </c>
      <c r="S734" s="515">
        <v>2.7</v>
      </c>
      <c r="T734" s="516">
        <v>585</v>
      </c>
      <c r="U734" s="490">
        <v>38</v>
      </c>
      <c r="V734" s="373"/>
      <c r="W734" s="391" t="s">
        <v>511</v>
      </c>
    </row>
    <row r="735" spans="1:23">
      <c r="A735" s="476" t="s">
        <v>1206</v>
      </c>
      <c r="B735" s="542">
        <v>1932</v>
      </c>
      <c r="C735" s="543">
        <v>171</v>
      </c>
      <c r="D735" s="543">
        <v>560</v>
      </c>
      <c r="E735" s="544">
        <v>44</v>
      </c>
      <c r="F735" s="512"/>
      <c r="G735" s="480"/>
      <c r="H735" s="481"/>
      <c r="I735" s="482"/>
      <c r="J735" s="483">
        <v>467.30600312088416</v>
      </c>
      <c r="K735" s="480">
        <v>235</v>
      </c>
      <c r="L735" s="481"/>
      <c r="M735" s="482"/>
      <c r="N735" s="483"/>
      <c r="O735" s="513"/>
      <c r="P735" s="514">
        <v>309</v>
      </c>
      <c r="Q735" s="486">
        <v>542</v>
      </c>
      <c r="R735" s="485">
        <v>0.373</v>
      </c>
      <c r="S735" s="515">
        <v>4.3</v>
      </c>
      <c r="T735" s="516">
        <v>775</v>
      </c>
      <c r="U735" s="490">
        <v>38</v>
      </c>
      <c r="V735" s="373"/>
      <c r="W735" s="391" t="s">
        <v>511</v>
      </c>
    </row>
    <row r="736" spans="1:23">
      <c r="A736" s="476" t="s">
        <v>1207</v>
      </c>
      <c r="B736" s="542">
        <v>2400</v>
      </c>
      <c r="C736" s="543">
        <v>171</v>
      </c>
      <c r="D736" s="543">
        <v>672</v>
      </c>
      <c r="E736" s="544">
        <v>42.8</v>
      </c>
      <c r="F736" s="512"/>
      <c r="G736" s="480"/>
      <c r="H736" s="481"/>
      <c r="I736" s="482"/>
      <c r="J736" s="483">
        <v>577.08722068131567</v>
      </c>
      <c r="K736" s="480">
        <v>185</v>
      </c>
      <c r="L736" s="481"/>
      <c r="M736" s="482"/>
      <c r="N736" s="483"/>
      <c r="O736" s="513"/>
      <c r="P736" s="514">
        <v>247</v>
      </c>
      <c r="Q736" s="486">
        <v>648</v>
      </c>
      <c r="R736" s="485">
        <v>0.45500000000000002</v>
      </c>
      <c r="S736" s="515">
        <v>4.5</v>
      </c>
      <c r="T736" s="516">
        <v>970</v>
      </c>
      <c r="U736" s="490">
        <v>38</v>
      </c>
      <c r="V736" s="373"/>
      <c r="W736" s="391" t="s">
        <v>511</v>
      </c>
    </row>
    <row r="737" spans="1:23">
      <c r="A737" s="476" t="s">
        <v>1208</v>
      </c>
      <c r="B737" s="542">
        <v>127</v>
      </c>
      <c r="C737" s="543">
        <v>40</v>
      </c>
      <c r="D737" s="543">
        <v>54</v>
      </c>
      <c r="E737" s="544">
        <v>13.7</v>
      </c>
      <c r="F737" s="512"/>
      <c r="G737" s="480"/>
      <c r="H737" s="481"/>
      <c r="I737" s="482"/>
      <c r="J737" s="483"/>
      <c r="K737" s="480"/>
      <c r="L737" s="481">
        <v>34.759439571269944</v>
      </c>
      <c r="M737" s="482">
        <v>1250</v>
      </c>
      <c r="N737" s="483"/>
      <c r="O737" s="513"/>
      <c r="P737" s="514">
        <v>1639</v>
      </c>
      <c r="Q737" s="486">
        <v>16.299999999999997</v>
      </c>
      <c r="R737" s="485">
        <v>0.91600000000000004</v>
      </c>
      <c r="S737" s="515">
        <v>7.8</v>
      </c>
      <c r="T737" s="516">
        <v>245</v>
      </c>
      <c r="U737" s="490">
        <v>38</v>
      </c>
      <c r="V737" s="373"/>
      <c r="W737" s="391" t="s">
        <v>511</v>
      </c>
    </row>
    <row r="738" spans="1:23">
      <c r="A738" s="476" t="s">
        <v>1209</v>
      </c>
      <c r="B738" s="542">
        <v>127</v>
      </c>
      <c r="C738" s="543">
        <v>40</v>
      </c>
      <c r="D738" s="543">
        <v>54</v>
      </c>
      <c r="E738" s="544">
        <v>13.7</v>
      </c>
      <c r="F738" s="512"/>
      <c r="G738" s="480"/>
      <c r="H738" s="481"/>
      <c r="I738" s="482"/>
      <c r="J738" s="483"/>
      <c r="K738" s="480"/>
      <c r="L738" s="481"/>
      <c r="M738" s="482"/>
      <c r="N738" s="483">
        <v>24.858012674165401</v>
      </c>
      <c r="O738" s="513">
        <v>1600</v>
      </c>
      <c r="P738" s="514">
        <v>1895</v>
      </c>
      <c r="Q738" s="486">
        <v>16.299999999999997</v>
      </c>
      <c r="R738" s="485">
        <v>0.91600000000000004</v>
      </c>
      <c r="S738" s="515">
        <v>7.8</v>
      </c>
      <c r="T738" s="516">
        <v>245</v>
      </c>
      <c r="U738" s="490">
        <v>38</v>
      </c>
      <c r="V738" s="373"/>
      <c r="W738" s="391" t="s">
        <v>511</v>
      </c>
    </row>
    <row r="739" spans="1:23">
      <c r="A739" s="476" t="s">
        <v>1210</v>
      </c>
      <c r="B739" s="542">
        <v>255</v>
      </c>
      <c r="C739" s="543">
        <v>50.4</v>
      </c>
      <c r="D739" s="543">
        <v>108</v>
      </c>
      <c r="E739" s="544">
        <v>16.399999999999999</v>
      </c>
      <c r="F739" s="512"/>
      <c r="G739" s="480"/>
      <c r="H739" s="481"/>
      <c r="I739" s="482"/>
      <c r="J739" s="483"/>
      <c r="K739" s="480"/>
      <c r="L739" s="481">
        <v>88.643815200699777</v>
      </c>
      <c r="M739" s="482">
        <v>725</v>
      </c>
      <c r="N739" s="483"/>
      <c r="O739" s="513"/>
      <c r="P739" s="514">
        <v>974</v>
      </c>
      <c r="Q739" s="486">
        <v>31.7</v>
      </c>
      <c r="R739" s="485">
        <v>0.92100000000000004</v>
      </c>
      <c r="S739" s="515">
        <v>11</v>
      </c>
      <c r="T739" s="516">
        <v>411</v>
      </c>
      <c r="U739" s="490">
        <v>38</v>
      </c>
      <c r="V739" s="373"/>
      <c r="W739" s="391" t="s">
        <v>511</v>
      </c>
    </row>
    <row r="740" spans="1:23">
      <c r="A740" s="476" t="s">
        <v>1211</v>
      </c>
      <c r="B740" s="542">
        <v>255</v>
      </c>
      <c r="C740" s="543">
        <v>50.4</v>
      </c>
      <c r="D740" s="543">
        <v>108</v>
      </c>
      <c r="E740" s="544">
        <v>16.399999999999999</v>
      </c>
      <c r="F740" s="512"/>
      <c r="G740" s="480"/>
      <c r="H740" s="481"/>
      <c r="I740" s="482"/>
      <c r="J740" s="483"/>
      <c r="K740" s="480"/>
      <c r="L740" s="481"/>
      <c r="M740" s="482"/>
      <c r="N740" s="483">
        <v>84.001439455620698</v>
      </c>
      <c r="O740" s="513">
        <v>885</v>
      </c>
      <c r="P740" s="514">
        <v>1169</v>
      </c>
      <c r="Q740" s="486">
        <v>31.7</v>
      </c>
      <c r="R740" s="485">
        <v>0.92100000000000004</v>
      </c>
      <c r="S740" s="515">
        <v>11</v>
      </c>
      <c r="T740" s="516">
        <v>411</v>
      </c>
      <c r="U740" s="490">
        <v>38</v>
      </c>
      <c r="V740" s="373"/>
      <c r="W740" s="391" t="s">
        <v>511</v>
      </c>
    </row>
    <row r="741" spans="1:23">
      <c r="A741" s="476" t="s">
        <v>1212</v>
      </c>
      <c r="B741" s="542">
        <v>393</v>
      </c>
      <c r="C741" s="543">
        <v>63.3</v>
      </c>
      <c r="D741" s="543">
        <v>154</v>
      </c>
      <c r="E741" s="544">
        <v>18.7</v>
      </c>
      <c r="F741" s="512"/>
      <c r="G741" s="480"/>
      <c r="H741" s="481"/>
      <c r="I741" s="482"/>
      <c r="J741" s="483"/>
      <c r="K741" s="480"/>
      <c r="L741" s="481">
        <v>119.77083853017209</v>
      </c>
      <c r="M741" s="482">
        <v>590</v>
      </c>
      <c r="N741" s="483"/>
      <c r="O741" s="513"/>
      <c r="P741" s="514">
        <v>778</v>
      </c>
      <c r="Q741" s="486">
        <v>47.5</v>
      </c>
      <c r="R741" s="485">
        <v>0.86699999999999999</v>
      </c>
      <c r="S741" s="515">
        <v>11</v>
      </c>
      <c r="T741" s="516">
        <v>515</v>
      </c>
      <c r="U741" s="490">
        <v>38</v>
      </c>
      <c r="V741" s="373"/>
      <c r="W741" s="391" t="s">
        <v>511</v>
      </c>
    </row>
    <row r="742" spans="1:23">
      <c r="A742" s="476" t="s">
        <v>1213</v>
      </c>
      <c r="B742" s="542">
        <v>393</v>
      </c>
      <c r="C742" s="543">
        <v>63.3</v>
      </c>
      <c r="D742" s="543">
        <v>154</v>
      </c>
      <c r="E742" s="544">
        <v>18.7</v>
      </c>
      <c r="F742" s="512"/>
      <c r="G742" s="480"/>
      <c r="H742" s="481"/>
      <c r="I742" s="482"/>
      <c r="J742" s="483"/>
      <c r="K742" s="480"/>
      <c r="L742" s="481"/>
      <c r="M742" s="482"/>
      <c r="N742" s="483">
        <v>110.74531456811052</v>
      </c>
      <c r="O742" s="513">
        <v>720</v>
      </c>
      <c r="P742" s="514">
        <v>930</v>
      </c>
      <c r="Q742" s="486">
        <v>47.5</v>
      </c>
      <c r="R742" s="485">
        <v>0.86699999999999999</v>
      </c>
      <c r="S742" s="515">
        <v>11</v>
      </c>
      <c r="T742" s="516">
        <v>515</v>
      </c>
      <c r="U742" s="490">
        <v>38</v>
      </c>
      <c r="V742" s="373"/>
      <c r="W742" s="391" t="s">
        <v>511</v>
      </c>
    </row>
    <row r="743" spans="1:23">
      <c r="A743" s="476" t="s">
        <v>1214</v>
      </c>
      <c r="B743" s="542">
        <v>127</v>
      </c>
      <c r="C743" s="543">
        <v>40</v>
      </c>
      <c r="D743" s="543">
        <v>54</v>
      </c>
      <c r="E743" s="544">
        <v>13.7</v>
      </c>
      <c r="F743" s="512"/>
      <c r="G743" s="480"/>
      <c r="H743" s="481"/>
      <c r="I743" s="482"/>
      <c r="J743" s="483">
        <v>44.708070377632424</v>
      </c>
      <c r="K743" s="480">
        <v>660</v>
      </c>
      <c r="L743" s="481"/>
      <c r="M743" s="482"/>
      <c r="N743" s="483"/>
      <c r="O743" s="513"/>
      <c r="P743" s="514">
        <v>983</v>
      </c>
      <c r="Q743" s="486">
        <v>16.299999999999997</v>
      </c>
      <c r="R743" s="485">
        <v>0.91600000000000004</v>
      </c>
      <c r="S743" s="515">
        <v>7.8</v>
      </c>
      <c r="T743" s="516">
        <v>245</v>
      </c>
      <c r="U743" s="490">
        <v>38</v>
      </c>
      <c r="V743" s="373"/>
      <c r="W743" s="391" t="s">
        <v>511</v>
      </c>
    </row>
    <row r="744" spans="1:23">
      <c r="A744" s="476" t="s">
        <v>1215</v>
      </c>
      <c r="B744" s="542">
        <v>255</v>
      </c>
      <c r="C744" s="543">
        <v>50.4</v>
      </c>
      <c r="D744" s="543">
        <v>108</v>
      </c>
      <c r="E744" s="544">
        <v>16.399999999999999</v>
      </c>
      <c r="F744" s="512"/>
      <c r="G744" s="480"/>
      <c r="H744" s="481"/>
      <c r="I744" s="482"/>
      <c r="J744" s="483">
        <v>95.989033210228826</v>
      </c>
      <c r="K744" s="480">
        <v>385</v>
      </c>
      <c r="L744" s="481"/>
      <c r="M744" s="482"/>
      <c r="N744" s="483"/>
      <c r="O744" s="513"/>
      <c r="P744" s="514">
        <v>584</v>
      </c>
      <c r="Q744" s="486">
        <v>31.7</v>
      </c>
      <c r="R744" s="485">
        <v>0.92100000000000004</v>
      </c>
      <c r="S744" s="515">
        <v>11</v>
      </c>
      <c r="T744" s="516">
        <v>411</v>
      </c>
      <c r="U744" s="490">
        <v>38</v>
      </c>
      <c r="V744" s="373"/>
      <c r="W744" s="391" t="s">
        <v>511</v>
      </c>
    </row>
    <row r="745" spans="1:23">
      <c r="A745" s="476" t="s">
        <v>1216</v>
      </c>
      <c r="B745" s="542">
        <v>393</v>
      </c>
      <c r="C745" s="543">
        <v>63.3</v>
      </c>
      <c r="D745" s="543">
        <v>154</v>
      </c>
      <c r="E745" s="544">
        <v>18.7</v>
      </c>
      <c r="F745" s="512"/>
      <c r="G745" s="480"/>
      <c r="H745" s="481"/>
      <c r="I745" s="482"/>
      <c r="J745" s="483">
        <v>133.38699992463609</v>
      </c>
      <c r="K745" s="480">
        <v>315</v>
      </c>
      <c r="L745" s="481"/>
      <c r="M745" s="482"/>
      <c r="N745" s="483"/>
      <c r="O745" s="513"/>
      <c r="P745" s="514">
        <v>467</v>
      </c>
      <c r="Q745" s="486">
        <v>47.5</v>
      </c>
      <c r="R745" s="485">
        <v>0.86699999999999999</v>
      </c>
      <c r="S745" s="515">
        <v>11</v>
      </c>
      <c r="T745" s="516">
        <v>515</v>
      </c>
      <c r="U745" s="490">
        <v>38</v>
      </c>
      <c r="V745" s="373"/>
      <c r="W745" s="391" t="s">
        <v>511</v>
      </c>
    </row>
    <row r="746" spans="1:23">
      <c r="A746" s="476" t="s">
        <v>1217</v>
      </c>
      <c r="B746" s="542">
        <v>414</v>
      </c>
      <c r="C746" s="543">
        <v>40</v>
      </c>
      <c r="D746" s="543">
        <v>205</v>
      </c>
      <c r="E746" s="544">
        <v>17</v>
      </c>
      <c r="F746" s="512"/>
      <c r="G746" s="480"/>
      <c r="H746" s="481"/>
      <c r="I746" s="482"/>
      <c r="J746" s="483"/>
      <c r="K746" s="480"/>
      <c r="L746" s="481">
        <v>162.33804195373327</v>
      </c>
      <c r="M746" s="482">
        <v>425</v>
      </c>
      <c r="N746" s="483"/>
      <c r="O746" s="513"/>
      <c r="P746" s="514">
        <v>542</v>
      </c>
      <c r="Q746" s="486">
        <v>98.4</v>
      </c>
      <c r="R746" s="485">
        <v>0.93</v>
      </c>
      <c r="S746" s="515">
        <v>13</v>
      </c>
      <c r="T746" s="516">
        <v>738</v>
      </c>
      <c r="U746" s="490">
        <v>46</v>
      </c>
      <c r="V746" s="373"/>
      <c r="W746" s="391" t="s">
        <v>511</v>
      </c>
    </row>
    <row r="747" spans="1:23">
      <c r="A747" s="476" t="s">
        <v>1218</v>
      </c>
      <c r="B747" s="542">
        <v>414</v>
      </c>
      <c r="C747" s="543">
        <v>40</v>
      </c>
      <c r="D747" s="543">
        <v>205</v>
      </c>
      <c r="E747" s="544">
        <v>17</v>
      </c>
      <c r="F747" s="512"/>
      <c r="G747" s="480"/>
      <c r="H747" s="481"/>
      <c r="I747" s="482"/>
      <c r="J747" s="483"/>
      <c r="K747" s="480"/>
      <c r="L747" s="481"/>
      <c r="M747" s="482"/>
      <c r="N747" s="483">
        <v>151.31962281660205</v>
      </c>
      <c r="O747" s="513">
        <v>520</v>
      </c>
      <c r="P747" s="514">
        <v>651</v>
      </c>
      <c r="Q747" s="486">
        <v>98.4</v>
      </c>
      <c r="R747" s="485">
        <v>0.93</v>
      </c>
      <c r="S747" s="515">
        <v>13</v>
      </c>
      <c r="T747" s="516">
        <v>738</v>
      </c>
      <c r="U747" s="490">
        <v>46</v>
      </c>
      <c r="V747" s="373"/>
      <c r="W747" s="391" t="s">
        <v>511</v>
      </c>
    </row>
    <row r="748" spans="1:23">
      <c r="A748" s="476" t="s">
        <v>1219</v>
      </c>
      <c r="B748" s="542">
        <v>414</v>
      </c>
      <c r="C748" s="543">
        <v>75.400000000000006</v>
      </c>
      <c r="D748" s="543">
        <v>205</v>
      </c>
      <c r="E748" s="544">
        <v>32</v>
      </c>
      <c r="F748" s="512"/>
      <c r="G748" s="480"/>
      <c r="H748" s="481"/>
      <c r="I748" s="482"/>
      <c r="J748" s="483"/>
      <c r="K748" s="480"/>
      <c r="L748" s="481">
        <v>66.998273370021394</v>
      </c>
      <c r="M748" s="482">
        <v>935</v>
      </c>
      <c r="N748" s="483"/>
      <c r="O748" s="513"/>
      <c r="P748" s="514">
        <v>1006</v>
      </c>
      <c r="Q748" s="486">
        <v>98.4</v>
      </c>
      <c r="R748" s="485">
        <v>0.26100000000000001</v>
      </c>
      <c r="S748" s="515">
        <v>3.7</v>
      </c>
      <c r="T748" s="516">
        <v>397</v>
      </c>
      <c r="U748" s="490">
        <v>46</v>
      </c>
      <c r="V748" s="373"/>
      <c r="W748" s="391" t="s">
        <v>511</v>
      </c>
    </row>
    <row r="749" spans="1:23">
      <c r="A749" s="476" t="s">
        <v>1220</v>
      </c>
      <c r="B749" s="542">
        <v>414</v>
      </c>
      <c r="C749" s="543">
        <v>75.400000000000006</v>
      </c>
      <c r="D749" s="543">
        <v>205</v>
      </c>
      <c r="E749" s="544">
        <v>32</v>
      </c>
      <c r="F749" s="512"/>
      <c r="G749" s="480"/>
      <c r="H749" s="481"/>
      <c r="I749" s="482"/>
      <c r="J749" s="483"/>
      <c r="K749" s="480"/>
      <c r="L749" s="481"/>
      <c r="M749" s="482"/>
      <c r="N749" s="483">
        <v>67.048252621692072</v>
      </c>
      <c r="O749" s="513">
        <v>940</v>
      </c>
      <c r="P749" s="514">
        <v>1068</v>
      </c>
      <c r="Q749" s="486">
        <v>98.4</v>
      </c>
      <c r="R749" s="485">
        <v>0.26100000000000001</v>
      </c>
      <c r="S749" s="515">
        <v>3.7</v>
      </c>
      <c r="T749" s="516">
        <v>397</v>
      </c>
      <c r="U749" s="490">
        <v>46</v>
      </c>
      <c r="V749" s="373"/>
      <c r="W749" s="391" t="s">
        <v>511</v>
      </c>
    </row>
    <row r="750" spans="1:23">
      <c r="A750" s="476" t="s">
        <v>1221</v>
      </c>
      <c r="B750" s="542">
        <v>789</v>
      </c>
      <c r="C750" s="543">
        <v>40</v>
      </c>
      <c r="D750" s="543">
        <v>385</v>
      </c>
      <c r="E750" s="544">
        <v>15</v>
      </c>
      <c r="F750" s="512"/>
      <c r="G750" s="480"/>
      <c r="H750" s="481"/>
      <c r="I750" s="482"/>
      <c r="J750" s="483"/>
      <c r="K750" s="480"/>
      <c r="L750" s="481">
        <v>331.71240770731868</v>
      </c>
      <c r="M750" s="482">
        <v>190</v>
      </c>
      <c r="N750" s="483"/>
      <c r="O750" s="513"/>
      <c r="P750" s="514">
        <v>257</v>
      </c>
      <c r="Q750" s="486">
        <v>198</v>
      </c>
      <c r="R750" s="485">
        <v>1.66</v>
      </c>
      <c r="S750" s="515">
        <v>29</v>
      </c>
      <c r="T750" s="516">
        <v>1560</v>
      </c>
      <c r="U750" s="490">
        <v>46</v>
      </c>
      <c r="V750" s="373"/>
      <c r="W750" s="391" t="s">
        <v>511</v>
      </c>
    </row>
    <row r="751" spans="1:23">
      <c r="A751" s="476" t="s">
        <v>1222</v>
      </c>
      <c r="B751" s="542">
        <v>789</v>
      </c>
      <c r="C751" s="543">
        <v>40</v>
      </c>
      <c r="D751" s="543">
        <v>385</v>
      </c>
      <c r="E751" s="544">
        <v>15</v>
      </c>
      <c r="F751" s="512"/>
      <c r="G751" s="480"/>
      <c r="H751" s="481"/>
      <c r="I751" s="482"/>
      <c r="J751" s="483"/>
      <c r="K751" s="480"/>
      <c r="L751" s="481"/>
      <c r="M751" s="482"/>
      <c r="N751" s="483">
        <v>323.05067172269821</v>
      </c>
      <c r="O751" s="513">
        <v>235</v>
      </c>
      <c r="P751" s="514">
        <v>309</v>
      </c>
      <c r="Q751" s="486">
        <v>198</v>
      </c>
      <c r="R751" s="485">
        <v>1.66</v>
      </c>
      <c r="S751" s="515">
        <v>29</v>
      </c>
      <c r="T751" s="516">
        <v>1560</v>
      </c>
      <c r="U751" s="490">
        <v>46</v>
      </c>
      <c r="V751" s="373"/>
      <c r="W751" s="391" t="s">
        <v>511</v>
      </c>
    </row>
    <row r="752" spans="1:23">
      <c r="A752" s="476" t="s">
        <v>1223</v>
      </c>
      <c r="B752" s="542">
        <v>789</v>
      </c>
      <c r="C752" s="543">
        <v>75.400000000000006</v>
      </c>
      <c r="D752" s="543">
        <v>385</v>
      </c>
      <c r="E752" s="544">
        <v>31.7</v>
      </c>
      <c r="F752" s="512"/>
      <c r="G752" s="480"/>
      <c r="H752" s="481"/>
      <c r="I752" s="482"/>
      <c r="J752" s="483"/>
      <c r="K752" s="480"/>
      <c r="L752" s="481">
        <v>273.02307055855135</v>
      </c>
      <c r="M752" s="482">
        <v>440</v>
      </c>
      <c r="N752" s="483"/>
      <c r="O752" s="513"/>
      <c r="P752" s="514">
        <v>545</v>
      </c>
      <c r="Q752" s="486">
        <v>198</v>
      </c>
      <c r="R752" s="485">
        <v>0.36899999999999999</v>
      </c>
      <c r="S752" s="515">
        <v>6.4</v>
      </c>
      <c r="T752" s="516">
        <v>733</v>
      </c>
      <c r="U752" s="490">
        <v>46</v>
      </c>
      <c r="V752" s="373"/>
      <c r="W752" s="391" t="s">
        <v>511</v>
      </c>
    </row>
    <row r="753" spans="1:23">
      <c r="A753" s="476" t="s">
        <v>1224</v>
      </c>
      <c r="B753" s="542">
        <v>789</v>
      </c>
      <c r="C753" s="543">
        <v>75.400000000000006</v>
      </c>
      <c r="D753" s="543">
        <v>385</v>
      </c>
      <c r="E753" s="544">
        <v>31.7</v>
      </c>
      <c r="F753" s="512"/>
      <c r="G753" s="480"/>
      <c r="H753" s="481"/>
      <c r="I753" s="482"/>
      <c r="J753" s="483"/>
      <c r="K753" s="480"/>
      <c r="L753" s="481"/>
      <c r="M753" s="482"/>
      <c r="N753" s="483">
        <v>233.08964847367582</v>
      </c>
      <c r="O753" s="513">
        <v>550</v>
      </c>
      <c r="P753" s="514">
        <v>654</v>
      </c>
      <c r="Q753" s="486">
        <v>198</v>
      </c>
      <c r="R753" s="485">
        <v>0.36899999999999999</v>
      </c>
      <c r="S753" s="515">
        <v>6.4</v>
      </c>
      <c r="T753" s="516">
        <v>733</v>
      </c>
      <c r="U753" s="490">
        <v>46</v>
      </c>
      <c r="V753" s="373"/>
      <c r="W753" s="391" t="s">
        <v>511</v>
      </c>
    </row>
    <row r="754" spans="1:23">
      <c r="A754" s="476" t="s">
        <v>1225</v>
      </c>
      <c r="B754" s="542">
        <v>1200</v>
      </c>
      <c r="C754" s="543">
        <v>53.1</v>
      </c>
      <c r="D754" s="543">
        <v>538</v>
      </c>
      <c r="E754" s="544">
        <v>18.100000000000001</v>
      </c>
      <c r="F754" s="512"/>
      <c r="G754" s="480"/>
      <c r="H754" s="481"/>
      <c r="I754" s="482"/>
      <c r="J754" s="483"/>
      <c r="K754" s="480"/>
      <c r="L754" s="481">
        <v>462.41745283790686</v>
      </c>
      <c r="M754" s="482">
        <v>165</v>
      </c>
      <c r="N754" s="483"/>
      <c r="O754" s="513"/>
      <c r="P754" s="514">
        <v>221</v>
      </c>
      <c r="Q754" s="486">
        <v>298</v>
      </c>
      <c r="R754" s="485">
        <v>1.41</v>
      </c>
      <c r="S754" s="515">
        <v>26</v>
      </c>
      <c r="T754" s="516">
        <v>1812</v>
      </c>
      <c r="U754" s="490">
        <v>46</v>
      </c>
      <c r="V754" s="373"/>
      <c r="W754" s="391" t="s">
        <v>511</v>
      </c>
    </row>
    <row r="755" spans="1:23">
      <c r="A755" s="476" t="s">
        <v>1226</v>
      </c>
      <c r="B755" s="542">
        <v>1200</v>
      </c>
      <c r="C755" s="543">
        <v>53.1</v>
      </c>
      <c r="D755" s="543">
        <v>538</v>
      </c>
      <c r="E755" s="544">
        <v>18.100000000000001</v>
      </c>
      <c r="F755" s="512"/>
      <c r="G755" s="480"/>
      <c r="H755" s="481"/>
      <c r="I755" s="482"/>
      <c r="J755" s="483"/>
      <c r="K755" s="480"/>
      <c r="L755" s="481"/>
      <c r="M755" s="482"/>
      <c r="N755" s="483">
        <v>443.08736156783664</v>
      </c>
      <c r="O755" s="513">
        <v>225</v>
      </c>
      <c r="P755" s="514">
        <v>265</v>
      </c>
      <c r="Q755" s="486">
        <v>298</v>
      </c>
      <c r="R755" s="485">
        <v>1.41</v>
      </c>
      <c r="S755" s="515">
        <v>26</v>
      </c>
      <c r="T755" s="516">
        <v>1812</v>
      </c>
      <c r="U755" s="490">
        <v>46</v>
      </c>
      <c r="V755" s="373"/>
      <c r="W755" s="391" t="s">
        <v>511</v>
      </c>
    </row>
    <row r="756" spans="1:23">
      <c r="A756" s="476" t="s">
        <v>1227</v>
      </c>
      <c r="B756" s="542">
        <v>1200</v>
      </c>
      <c r="C756" s="543">
        <v>106</v>
      </c>
      <c r="D756" s="543">
        <v>545</v>
      </c>
      <c r="E756" s="544">
        <v>35.5</v>
      </c>
      <c r="F756" s="512"/>
      <c r="G756" s="480"/>
      <c r="H756" s="481"/>
      <c r="I756" s="482"/>
      <c r="J756" s="483"/>
      <c r="K756" s="480"/>
      <c r="L756" s="481">
        <v>400.51687418082179</v>
      </c>
      <c r="M756" s="482">
        <v>345</v>
      </c>
      <c r="N756" s="483"/>
      <c r="O756" s="513"/>
      <c r="P756" s="514">
        <v>426</v>
      </c>
      <c r="Q756" s="486">
        <v>298</v>
      </c>
      <c r="R756" s="485">
        <v>0.37</v>
      </c>
      <c r="S756" s="515">
        <v>7</v>
      </c>
      <c r="T756" s="516">
        <v>940</v>
      </c>
      <c r="U756" s="490">
        <v>46</v>
      </c>
      <c r="V756" s="373"/>
      <c r="W756" s="391" t="s">
        <v>511</v>
      </c>
    </row>
    <row r="757" spans="1:23">
      <c r="A757" s="476" t="s">
        <v>1228</v>
      </c>
      <c r="B757" s="542">
        <v>1200</v>
      </c>
      <c r="C757" s="543">
        <v>106</v>
      </c>
      <c r="D757" s="543">
        <v>545</v>
      </c>
      <c r="E757" s="544">
        <v>35.5</v>
      </c>
      <c r="F757" s="512"/>
      <c r="G757" s="480"/>
      <c r="H757" s="481"/>
      <c r="I757" s="482"/>
      <c r="J757" s="483"/>
      <c r="K757" s="480"/>
      <c r="L757" s="481"/>
      <c r="M757" s="482"/>
      <c r="N757" s="483">
        <v>359.5029302781636</v>
      </c>
      <c r="O757" s="513">
        <v>425</v>
      </c>
      <c r="P757" s="514">
        <v>511</v>
      </c>
      <c r="Q757" s="486">
        <v>298</v>
      </c>
      <c r="R757" s="485">
        <v>0.37</v>
      </c>
      <c r="S757" s="515">
        <v>7</v>
      </c>
      <c r="T757" s="516">
        <v>940</v>
      </c>
      <c r="U757" s="490">
        <v>46</v>
      </c>
      <c r="V757" s="373"/>
      <c r="W757" s="391" t="s">
        <v>511</v>
      </c>
    </row>
    <row r="758" spans="1:23">
      <c r="A758" s="476" t="s">
        <v>1229</v>
      </c>
      <c r="B758" s="542">
        <v>414</v>
      </c>
      <c r="C758" s="543">
        <v>40</v>
      </c>
      <c r="D758" s="543">
        <v>205</v>
      </c>
      <c r="E758" s="544">
        <v>17</v>
      </c>
      <c r="F758" s="512"/>
      <c r="G758" s="480"/>
      <c r="H758" s="481"/>
      <c r="I758" s="482"/>
      <c r="J758" s="483">
        <v>179.31456921686876</v>
      </c>
      <c r="K758" s="480">
        <v>225</v>
      </c>
      <c r="L758" s="481"/>
      <c r="M758" s="482"/>
      <c r="N758" s="483"/>
      <c r="O758" s="513"/>
      <c r="P758" s="514">
        <v>325</v>
      </c>
      <c r="Q758" s="486">
        <v>98.4</v>
      </c>
      <c r="R758" s="485">
        <v>0.93</v>
      </c>
      <c r="S758" s="515">
        <v>13</v>
      </c>
      <c r="T758" s="516">
        <v>738</v>
      </c>
      <c r="U758" s="490">
        <v>46</v>
      </c>
      <c r="V758" s="373"/>
      <c r="W758" s="391" t="s">
        <v>511</v>
      </c>
    </row>
    <row r="759" spans="1:23">
      <c r="A759" s="476" t="s">
        <v>1230</v>
      </c>
      <c r="B759" s="542">
        <v>414</v>
      </c>
      <c r="C759" s="543">
        <v>75.400000000000006</v>
      </c>
      <c r="D759" s="543">
        <v>205</v>
      </c>
      <c r="E759" s="544">
        <v>32</v>
      </c>
      <c r="F759" s="512"/>
      <c r="G759" s="480"/>
      <c r="H759" s="481"/>
      <c r="I759" s="482"/>
      <c r="J759" s="483">
        <v>156.03550620729419</v>
      </c>
      <c r="K759" s="480">
        <v>500</v>
      </c>
      <c r="L759" s="481"/>
      <c r="M759" s="482"/>
      <c r="N759" s="483"/>
      <c r="O759" s="513"/>
      <c r="P759" s="514">
        <v>604</v>
      </c>
      <c r="Q759" s="486">
        <v>98.4</v>
      </c>
      <c r="R759" s="485">
        <v>0.26100000000000001</v>
      </c>
      <c r="S759" s="515">
        <v>3.7</v>
      </c>
      <c r="T759" s="516">
        <v>397</v>
      </c>
      <c r="U759" s="490">
        <v>46</v>
      </c>
      <c r="V759" s="373"/>
      <c r="W759" s="391" t="s">
        <v>511</v>
      </c>
    </row>
    <row r="760" spans="1:23">
      <c r="A760" s="476" t="s">
        <v>1231</v>
      </c>
      <c r="B760" s="542">
        <v>789</v>
      </c>
      <c r="C760" s="543">
        <v>40</v>
      </c>
      <c r="D760" s="543">
        <v>385</v>
      </c>
      <c r="E760" s="544">
        <v>15</v>
      </c>
      <c r="F760" s="512"/>
      <c r="G760" s="480"/>
      <c r="H760" s="481"/>
      <c r="I760" s="482"/>
      <c r="J760" s="483">
        <v>346.63946605414804</v>
      </c>
      <c r="K760" s="480">
        <v>100</v>
      </c>
      <c r="L760" s="481"/>
      <c r="M760" s="482"/>
      <c r="N760" s="483"/>
      <c r="O760" s="513"/>
      <c r="P760" s="514">
        <v>154</v>
      </c>
      <c r="Q760" s="486">
        <v>198</v>
      </c>
      <c r="R760" s="485">
        <v>1.66</v>
      </c>
      <c r="S760" s="515">
        <v>29</v>
      </c>
      <c r="T760" s="516">
        <v>1560</v>
      </c>
      <c r="U760" s="490">
        <v>46</v>
      </c>
      <c r="V760" s="373"/>
      <c r="W760" s="391" t="s">
        <v>511</v>
      </c>
    </row>
    <row r="761" spans="1:23">
      <c r="A761" s="476" t="s">
        <v>1232</v>
      </c>
      <c r="B761" s="542">
        <v>789</v>
      </c>
      <c r="C761" s="543">
        <v>75.400000000000006</v>
      </c>
      <c r="D761" s="543">
        <v>385</v>
      </c>
      <c r="E761" s="544">
        <v>31.7</v>
      </c>
      <c r="F761" s="512"/>
      <c r="G761" s="480"/>
      <c r="H761" s="481"/>
      <c r="I761" s="482"/>
      <c r="J761" s="483">
        <v>323.45702476889028</v>
      </c>
      <c r="K761" s="480">
        <v>235</v>
      </c>
      <c r="L761" s="481"/>
      <c r="M761" s="482"/>
      <c r="N761" s="483"/>
      <c r="O761" s="513"/>
      <c r="P761" s="514">
        <v>327</v>
      </c>
      <c r="Q761" s="486">
        <v>198</v>
      </c>
      <c r="R761" s="485">
        <v>0.36899999999999999</v>
      </c>
      <c r="S761" s="515">
        <v>6.4</v>
      </c>
      <c r="T761" s="516">
        <v>733</v>
      </c>
      <c r="U761" s="490">
        <v>46</v>
      </c>
      <c r="V761" s="373"/>
      <c r="W761" s="391" t="s">
        <v>511</v>
      </c>
    </row>
    <row r="762" spans="1:23">
      <c r="A762" s="476" t="s">
        <v>1233</v>
      </c>
      <c r="B762" s="542">
        <v>1200</v>
      </c>
      <c r="C762" s="543">
        <v>53.1</v>
      </c>
      <c r="D762" s="543">
        <v>538</v>
      </c>
      <c r="E762" s="544">
        <v>18.100000000000001</v>
      </c>
      <c r="F762" s="512"/>
      <c r="G762" s="480"/>
      <c r="H762" s="481"/>
      <c r="I762" s="482"/>
      <c r="J762" s="483">
        <v>482.76999404541584</v>
      </c>
      <c r="K762" s="480">
        <v>90</v>
      </c>
      <c r="L762" s="481"/>
      <c r="M762" s="482"/>
      <c r="N762" s="483"/>
      <c r="O762" s="513"/>
      <c r="P762" s="514">
        <v>132</v>
      </c>
      <c r="Q762" s="486">
        <v>298</v>
      </c>
      <c r="R762" s="485">
        <v>1.41</v>
      </c>
      <c r="S762" s="515">
        <v>26</v>
      </c>
      <c r="T762" s="516">
        <v>1812</v>
      </c>
      <c r="U762" s="490">
        <v>46</v>
      </c>
      <c r="V762" s="373"/>
      <c r="W762" s="391" t="s">
        <v>511</v>
      </c>
    </row>
    <row r="763" spans="1:23">
      <c r="A763" s="476" t="s">
        <v>1234</v>
      </c>
      <c r="B763" s="542">
        <v>1200</v>
      </c>
      <c r="C763" s="543">
        <v>106</v>
      </c>
      <c r="D763" s="543">
        <v>545</v>
      </c>
      <c r="E763" s="544">
        <v>35.5</v>
      </c>
      <c r="F763" s="512"/>
      <c r="G763" s="480"/>
      <c r="H763" s="481"/>
      <c r="I763" s="482"/>
      <c r="J763" s="483">
        <v>463.67140087438844</v>
      </c>
      <c r="K763" s="480">
        <v>180</v>
      </c>
      <c r="L763" s="481"/>
      <c r="M763" s="482"/>
      <c r="N763" s="483"/>
      <c r="O763" s="513"/>
      <c r="P763" s="514">
        <v>255</v>
      </c>
      <c r="Q763" s="486">
        <v>298</v>
      </c>
      <c r="R763" s="485">
        <v>0.37</v>
      </c>
      <c r="S763" s="515">
        <v>7</v>
      </c>
      <c r="T763" s="516">
        <v>940</v>
      </c>
      <c r="U763" s="490">
        <v>46</v>
      </c>
      <c r="V763" s="373"/>
      <c r="W763" s="391" t="s">
        <v>511</v>
      </c>
    </row>
    <row r="764" spans="1:23">
      <c r="A764" s="476" t="s">
        <v>1235</v>
      </c>
      <c r="B764" s="542">
        <v>1966</v>
      </c>
      <c r="C764" s="543">
        <v>140</v>
      </c>
      <c r="D764" s="543">
        <v>776</v>
      </c>
      <c r="E764" s="544">
        <v>43.2</v>
      </c>
      <c r="F764" s="512"/>
      <c r="G764" s="480"/>
      <c r="H764" s="481"/>
      <c r="I764" s="482"/>
      <c r="J764" s="483"/>
      <c r="K764" s="480"/>
      <c r="L764" s="481">
        <v>534.60145384567647</v>
      </c>
      <c r="M764" s="482">
        <v>300</v>
      </c>
      <c r="N764" s="483"/>
      <c r="O764" s="513"/>
      <c r="P764" s="514">
        <v>365</v>
      </c>
      <c r="Q764" s="486">
        <v>1060</v>
      </c>
      <c r="R764" s="485">
        <v>0.37</v>
      </c>
      <c r="S764" s="515">
        <v>4.2</v>
      </c>
      <c r="T764" s="516">
        <v>1100</v>
      </c>
      <c r="U764" s="490">
        <v>56</v>
      </c>
      <c r="V764" s="373"/>
      <c r="W764" s="391" t="s">
        <v>511</v>
      </c>
    </row>
    <row r="765" spans="1:23">
      <c r="A765" s="476" t="s">
        <v>1236</v>
      </c>
      <c r="B765" s="542">
        <v>1966</v>
      </c>
      <c r="C765" s="543">
        <v>140</v>
      </c>
      <c r="D765" s="543">
        <v>776</v>
      </c>
      <c r="E765" s="544">
        <v>43.2</v>
      </c>
      <c r="F765" s="512"/>
      <c r="G765" s="480"/>
      <c r="H765" s="481"/>
      <c r="I765" s="482"/>
      <c r="J765" s="483"/>
      <c r="K765" s="480"/>
      <c r="L765" s="481"/>
      <c r="M765" s="482"/>
      <c r="N765" s="483">
        <v>440.54088247836631</v>
      </c>
      <c r="O765" s="513">
        <v>375</v>
      </c>
      <c r="P765" s="514">
        <v>438</v>
      </c>
      <c r="Q765" s="486">
        <v>1060</v>
      </c>
      <c r="R765" s="485">
        <v>0.37</v>
      </c>
      <c r="S765" s="515">
        <v>4.2</v>
      </c>
      <c r="T765" s="516">
        <v>1100</v>
      </c>
      <c r="U765" s="490">
        <v>56</v>
      </c>
      <c r="V765" s="373"/>
      <c r="W765" s="391" t="s">
        <v>511</v>
      </c>
    </row>
    <row r="766" spans="1:23">
      <c r="A766" s="476" t="s">
        <v>1237</v>
      </c>
      <c r="B766" s="542">
        <v>2915</v>
      </c>
      <c r="C766" s="543">
        <v>140</v>
      </c>
      <c r="D766" s="543">
        <v>1090</v>
      </c>
      <c r="E766" s="544">
        <v>40.6</v>
      </c>
      <c r="F766" s="512"/>
      <c r="G766" s="480"/>
      <c r="H766" s="481"/>
      <c r="I766" s="482"/>
      <c r="J766" s="483"/>
      <c r="K766" s="480"/>
      <c r="L766" s="481">
        <v>843.68035333013711</v>
      </c>
      <c r="M766" s="482">
        <v>200</v>
      </c>
      <c r="N766" s="483"/>
      <c r="O766" s="513"/>
      <c r="P766" s="514">
        <v>243</v>
      </c>
      <c r="Q766" s="486">
        <v>1570</v>
      </c>
      <c r="R766" s="485">
        <v>0.50900000000000001</v>
      </c>
      <c r="S766" s="515">
        <v>6.3</v>
      </c>
      <c r="T766" s="516">
        <v>1645</v>
      </c>
      <c r="U766" s="490">
        <v>56</v>
      </c>
      <c r="V766" s="373"/>
      <c r="W766" s="391" t="s">
        <v>511</v>
      </c>
    </row>
    <row r="767" spans="1:23">
      <c r="A767" s="476" t="s">
        <v>1238</v>
      </c>
      <c r="B767" s="542">
        <v>2915</v>
      </c>
      <c r="C767" s="543">
        <v>140</v>
      </c>
      <c r="D767" s="543">
        <v>1090</v>
      </c>
      <c r="E767" s="544">
        <v>40.6</v>
      </c>
      <c r="F767" s="512"/>
      <c r="G767" s="480"/>
      <c r="H767" s="481"/>
      <c r="I767" s="482"/>
      <c r="J767" s="483"/>
      <c r="K767" s="480"/>
      <c r="L767" s="481"/>
      <c r="M767" s="482"/>
      <c r="N767" s="483">
        <v>781.87301838940914</v>
      </c>
      <c r="O767" s="513">
        <v>245</v>
      </c>
      <c r="P767" s="514">
        <v>291</v>
      </c>
      <c r="Q767" s="486">
        <v>1570</v>
      </c>
      <c r="R767" s="485">
        <v>0.50900000000000001</v>
      </c>
      <c r="S767" s="515">
        <v>6.3</v>
      </c>
      <c r="T767" s="516">
        <v>1645</v>
      </c>
      <c r="U767" s="490">
        <v>56</v>
      </c>
      <c r="V767" s="373"/>
      <c r="W767" s="391" t="s">
        <v>511</v>
      </c>
    </row>
    <row r="768" spans="1:23">
      <c r="A768" s="476" t="s">
        <v>1239</v>
      </c>
      <c r="B768" s="542">
        <v>3930</v>
      </c>
      <c r="C768" s="543">
        <v>140</v>
      </c>
      <c r="D768" s="543">
        <v>1375</v>
      </c>
      <c r="E768" s="544">
        <v>38.6</v>
      </c>
      <c r="F768" s="512"/>
      <c r="G768" s="480"/>
      <c r="H768" s="481"/>
      <c r="I768" s="482"/>
      <c r="J768" s="483"/>
      <c r="K768" s="480"/>
      <c r="L768" s="481">
        <v>1115.3578411880026</v>
      </c>
      <c r="M768" s="482">
        <v>150</v>
      </c>
      <c r="N768" s="483"/>
      <c r="O768" s="513"/>
      <c r="P768" s="514">
        <v>183</v>
      </c>
      <c r="Q768" s="486">
        <v>1680</v>
      </c>
      <c r="R768" s="485">
        <v>0.64</v>
      </c>
      <c r="S768" s="515">
        <v>8.4</v>
      </c>
      <c r="T768" s="516">
        <v>2190</v>
      </c>
      <c r="U768" s="490">
        <v>56</v>
      </c>
      <c r="V768" s="373"/>
      <c r="W768" s="391" t="s">
        <v>511</v>
      </c>
    </row>
    <row r="769" spans="1:23">
      <c r="A769" s="476" t="s">
        <v>1240</v>
      </c>
      <c r="B769" s="542">
        <v>3930</v>
      </c>
      <c r="C769" s="543">
        <v>140</v>
      </c>
      <c r="D769" s="543">
        <v>1375</v>
      </c>
      <c r="E769" s="544">
        <v>38.6</v>
      </c>
      <c r="F769" s="512"/>
      <c r="G769" s="480"/>
      <c r="H769" s="481"/>
      <c r="I769" s="482"/>
      <c r="J769" s="483"/>
      <c r="K769" s="480"/>
      <c r="L769" s="481"/>
      <c r="M769" s="482"/>
      <c r="N769" s="483">
        <v>1063.9507945693204</v>
      </c>
      <c r="O769" s="513">
        <v>180</v>
      </c>
      <c r="P769" s="514">
        <v>220</v>
      </c>
      <c r="Q769" s="486">
        <v>1680</v>
      </c>
      <c r="R769" s="485">
        <v>0.64</v>
      </c>
      <c r="S769" s="515">
        <v>8.4</v>
      </c>
      <c r="T769" s="516">
        <v>2190</v>
      </c>
      <c r="U769" s="490">
        <v>56</v>
      </c>
      <c r="V769" s="373"/>
      <c r="W769" s="391" t="s">
        <v>511</v>
      </c>
    </row>
    <row r="770" spans="1:23">
      <c r="A770" s="476" t="s">
        <v>1241</v>
      </c>
      <c r="B770" s="542">
        <v>1966</v>
      </c>
      <c r="C770" s="543">
        <v>140</v>
      </c>
      <c r="D770" s="543">
        <v>776</v>
      </c>
      <c r="E770" s="544">
        <v>43.2</v>
      </c>
      <c r="F770" s="512"/>
      <c r="G770" s="480"/>
      <c r="H770" s="481"/>
      <c r="I770" s="482"/>
      <c r="J770" s="483">
        <v>580.77085597351629</v>
      </c>
      <c r="K770" s="480">
        <v>165</v>
      </c>
      <c r="L770" s="481"/>
      <c r="M770" s="482"/>
      <c r="N770" s="483"/>
      <c r="O770" s="513"/>
      <c r="P770" s="514">
        <v>219</v>
      </c>
      <c r="Q770" s="486">
        <v>1060</v>
      </c>
      <c r="R770" s="485">
        <v>0.37</v>
      </c>
      <c r="S770" s="515">
        <v>4.2</v>
      </c>
      <c r="T770" s="516">
        <v>1100</v>
      </c>
      <c r="U770" s="490">
        <v>56</v>
      </c>
      <c r="V770" s="373"/>
      <c r="W770" s="391" t="s">
        <v>511</v>
      </c>
    </row>
    <row r="771" spans="1:23">
      <c r="A771" s="476" t="s">
        <v>1242</v>
      </c>
      <c r="B771" s="542">
        <v>2915</v>
      </c>
      <c r="C771" s="543">
        <v>140</v>
      </c>
      <c r="D771" s="543">
        <v>1090</v>
      </c>
      <c r="E771" s="544">
        <v>40.6</v>
      </c>
      <c r="F771" s="512"/>
      <c r="G771" s="480"/>
      <c r="H771" s="481"/>
      <c r="I771" s="482"/>
      <c r="J771" s="483">
        <v>945.38036196585824</v>
      </c>
      <c r="K771" s="480">
        <v>110</v>
      </c>
      <c r="L771" s="481"/>
      <c r="M771" s="482"/>
      <c r="N771" s="483"/>
      <c r="O771" s="513"/>
      <c r="P771" s="514">
        <v>146</v>
      </c>
      <c r="Q771" s="486">
        <v>1570</v>
      </c>
      <c r="R771" s="485">
        <v>0.50900000000000001</v>
      </c>
      <c r="S771" s="515">
        <v>6.3</v>
      </c>
      <c r="T771" s="516">
        <v>1645</v>
      </c>
      <c r="U771" s="490">
        <v>56</v>
      </c>
      <c r="V771" s="373"/>
      <c r="W771" s="391" t="s">
        <v>511</v>
      </c>
    </row>
    <row r="772" spans="1:23">
      <c r="A772" s="476" t="s">
        <v>1243</v>
      </c>
      <c r="B772" s="542">
        <v>3930</v>
      </c>
      <c r="C772" s="543">
        <v>140</v>
      </c>
      <c r="D772" s="543">
        <v>1375</v>
      </c>
      <c r="E772" s="544">
        <v>38.6</v>
      </c>
      <c r="F772" s="512"/>
      <c r="G772" s="480"/>
      <c r="H772" s="481"/>
      <c r="I772" s="482"/>
      <c r="J772" s="483">
        <v>1209.1796801406749</v>
      </c>
      <c r="K772" s="480">
        <v>80</v>
      </c>
      <c r="L772" s="481"/>
      <c r="M772" s="482"/>
      <c r="N772" s="483"/>
      <c r="O772" s="513"/>
      <c r="P772" s="514">
        <v>110</v>
      </c>
      <c r="Q772" s="486">
        <v>1680</v>
      </c>
      <c r="R772" s="485">
        <v>0.64</v>
      </c>
      <c r="S772" s="515">
        <v>8.4</v>
      </c>
      <c r="T772" s="516">
        <v>2190</v>
      </c>
      <c r="U772" s="490">
        <v>56</v>
      </c>
      <c r="V772" s="373"/>
      <c r="W772" s="391" t="s">
        <v>511</v>
      </c>
    </row>
    <row r="773" spans="1:23">
      <c r="A773" s="476" t="s">
        <v>1244</v>
      </c>
      <c r="B773" s="542">
        <v>6494</v>
      </c>
      <c r="C773" s="543">
        <v>147</v>
      </c>
      <c r="D773" s="543">
        <v>1932</v>
      </c>
      <c r="E773" s="544">
        <v>33.1</v>
      </c>
      <c r="F773" s="512"/>
      <c r="G773" s="480"/>
      <c r="H773" s="481"/>
      <c r="I773" s="482"/>
      <c r="J773" s="483"/>
      <c r="K773" s="480"/>
      <c r="L773" s="481">
        <v>1710.4475354640751</v>
      </c>
      <c r="M773" s="482">
        <v>85</v>
      </c>
      <c r="N773" s="483"/>
      <c r="O773" s="513"/>
      <c r="P773" s="514">
        <v>111</v>
      </c>
      <c r="Q773" s="486">
        <v>4880</v>
      </c>
      <c r="R773" s="485">
        <v>1.06</v>
      </c>
      <c r="S773" s="515">
        <v>16</v>
      </c>
      <c r="T773" s="516">
        <v>3584</v>
      </c>
      <c r="U773" s="490">
        <v>58</v>
      </c>
      <c r="V773" s="373"/>
      <c r="W773" s="391" t="s">
        <v>511</v>
      </c>
    </row>
    <row r="774" spans="1:23">
      <c r="A774" s="476" t="s">
        <v>1245</v>
      </c>
      <c r="B774" s="542">
        <v>6494</v>
      </c>
      <c r="C774" s="543">
        <v>147</v>
      </c>
      <c r="D774" s="543">
        <v>1932</v>
      </c>
      <c r="E774" s="544">
        <v>33.1</v>
      </c>
      <c r="F774" s="512"/>
      <c r="G774" s="480"/>
      <c r="H774" s="481"/>
      <c r="I774" s="482"/>
      <c r="J774" s="483"/>
      <c r="K774" s="480"/>
      <c r="L774" s="481"/>
      <c r="M774" s="482"/>
      <c r="N774" s="483">
        <v>1680.6761990504149</v>
      </c>
      <c r="O774" s="513">
        <v>105</v>
      </c>
      <c r="P774" s="514">
        <v>134</v>
      </c>
      <c r="Q774" s="486">
        <v>4880</v>
      </c>
      <c r="R774" s="485">
        <v>1.06</v>
      </c>
      <c r="S774" s="515">
        <v>16</v>
      </c>
      <c r="T774" s="516">
        <v>3584</v>
      </c>
      <c r="U774" s="490">
        <v>58</v>
      </c>
      <c r="V774" s="373"/>
      <c r="W774" s="391" t="s">
        <v>511</v>
      </c>
    </row>
    <row r="775" spans="1:23">
      <c r="A775" s="476" t="s">
        <v>1246</v>
      </c>
      <c r="B775" s="542">
        <v>9741</v>
      </c>
      <c r="C775" s="543">
        <v>147</v>
      </c>
      <c r="D775" s="543">
        <v>2706</v>
      </c>
      <c r="E775" s="544">
        <v>31</v>
      </c>
      <c r="F775" s="512"/>
      <c r="G775" s="480"/>
      <c r="H775" s="481"/>
      <c r="I775" s="482"/>
      <c r="J775" s="483"/>
      <c r="K775" s="480"/>
      <c r="L775" s="481">
        <v>2428.9938042061262</v>
      </c>
      <c r="M775" s="482">
        <v>55</v>
      </c>
      <c r="N775" s="483"/>
      <c r="O775" s="513"/>
      <c r="P775" s="514">
        <v>74</v>
      </c>
      <c r="Q775" s="486">
        <v>7190</v>
      </c>
      <c r="R775" s="485">
        <v>1.48</v>
      </c>
      <c r="S775" s="515">
        <v>24</v>
      </c>
      <c r="T775" s="516">
        <v>5380</v>
      </c>
      <c r="U775" s="490">
        <v>58</v>
      </c>
      <c r="V775" s="373"/>
      <c r="W775" s="391" t="s">
        <v>511</v>
      </c>
    </row>
    <row r="776" spans="1:23">
      <c r="A776" s="476" t="s">
        <v>1247</v>
      </c>
      <c r="B776" s="542">
        <v>9741</v>
      </c>
      <c r="C776" s="543">
        <v>147</v>
      </c>
      <c r="D776" s="543">
        <v>2706</v>
      </c>
      <c r="E776" s="544">
        <v>31</v>
      </c>
      <c r="F776" s="512"/>
      <c r="G776" s="480"/>
      <c r="H776" s="481"/>
      <c r="I776" s="482"/>
      <c r="J776" s="483"/>
      <c r="K776" s="480"/>
      <c r="L776" s="481"/>
      <c r="M776" s="482"/>
      <c r="N776" s="483">
        <v>2406.2823087173174</v>
      </c>
      <c r="O776" s="513">
        <v>68</v>
      </c>
      <c r="P776" s="514">
        <v>89</v>
      </c>
      <c r="Q776" s="486">
        <v>7190</v>
      </c>
      <c r="R776" s="485">
        <v>1.48</v>
      </c>
      <c r="S776" s="515">
        <v>24</v>
      </c>
      <c r="T776" s="516">
        <v>5380</v>
      </c>
      <c r="U776" s="490">
        <v>58</v>
      </c>
      <c r="V776" s="373"/>
      <c r="W776" s="391" t="s">
        <v>511</v>
      </c>
    </row>
    <row r="777" spans="1:23">
      <c r="A777" s="476" t="s">
        <v>1248</v>
      </c>
      <c r="B777" s="542">
        <v>12812</v>
      </c>
      <c r="C777" s="543">
        <v>147</v>
      </c>
      <c r="D777" s="543">
        <v>3444</v>
      </c>
      <c r="E777" s="544">
        <v>29.5</v>
      </c>
      <c r="F777" s="512"/>
      <c r="G777" s="480"/>
      <c r="H777" s="481"/>
      <c r="I777" s="482"/>
      <c r="J777" s="483"/>
      <c r="K777" s="480"/>
      <c r="L777" s="481">
        <v>3366.1270463935866</v>
      </c>
      <c r="M777" s="482">
        <v>40</v>
      </c>
      <c r="N777" s="483"/>
      <c r="O777" s="513"/>
      <c r="P777" s="514">
        <v>55</v>
      </c>
      <c r="Q777" s="486">
        <v>9560</v>
      </c>
      <c r="R777" s="485">
        <v>1.9</v>
      </c>
      <c r="S777" s="515">
        <v>32</v>
      </c>
      <c r="T777" s="516">
        <v>7180</v>
      </c>
      <c r="U777" s="490">
        <v>58</v>
      </c>
      <c r="V777" s="373"/>
      <c r="W777" s="391" t="s">
        <v>511</v>
      </c>
    </row>
    <row r="778" spans="1:23">
      <c r="A778" s="476" t="s">
        <v>1249</v>
      </c>
      <c r="B778" s="542">
        <v>12812</v>
      </c>
      <c r="C778" s="543">
        <v>147</v>
      </c>
      <c r="D778" s="543">
        <v>3444</v>
      </c>
      <c r="E778" s="544">
        <v>29.5</v>
      </c>
      <c r="F778" s="512"/>
      <c r="G778" s="480"/>
      <c r="H778" s="481"/>
      <c r="I778" s="482"/>
      <c r="J778" s="483"/>
      <c r="K778" s="480"/>
      <c r="L778" s="481"/>
      <c r="M778" s="482"/>
      <c r="N778" s="483">
        <v>3288.7777440509253</v>
      </c>
      <c r="O778" s="513">
        <v>50</v>
      </c>
      <c r="P778" s="514">
        <v>67</v>
      </c>
      <c r="Q778" s="486">
        <v>9560</v>
      </c>
      <c r="R778" s="485">
        <v>1.9</v>
      </c>
      <c r="S778" s="515">
        <v>32</v>
      </c>
      <c r="T778" s="516">
        <v>7180</v>
      </c>
      <c r="U778" s="490">
        <v>58</v>
      </c>
      <c r="V778" s="373"/>
      <c r="W778" s="391" t="s">
        <v>511</v>
      </c>
    </row>
    <row r="779" spans="1:23">
      <c r="A779" s="476" t="s">
        <v>1250</v>
      </c>
      <c r="B779" s="542">
        <v>6494</v>
      </c>
      <c r="C779" s="543">
        <v>147</v>
      </c>
      <c r="D779" s="543">
        <v>1932</v>
      </c>
      <c r="E779" s="544">
        <v>33.1</v>
      </c>
      <c r="F779" s="512"/>
      <c r="G779" s="480"/>
      <c r="H779" s="481"/>
      <c r="I779" s="482"/>
      <c r="J779" s="483">
        <v>1761.3147035503084</v>
      </c>
      <c r="K779" s="480">
        <v>45</v>
      </c>
      <c r="L779" s="481"/>
      <c r="M779" s="482"/>
      <c r="N779" s="483"/>
      <c r="O779" s="513"/>
      <c r="P779" s="514">
        <v>67</v>
      </c>
      <c r="Q779" s="486">
        <v>4880</v>
      </c>
      <c r="R779" s="485">
        <v>1.06</v>
      </c>
      <c r="S779" s="515">
        <v>16</v>
      </c>
      <c r="T779" s="516">
        <v>3584</v>
      </c>
      <c r="U779" s="490">
        <v>58</v>
      </c>
      <c r="V779" s="373"/>
      <c r="W779" s="391" t="s">
        <v>511</v>
      </c>
    </row>
    <row r="780" spans="1:23">
      <c r="A780" s="476" t="s">
        <v>1251</v>
      </c>
      <c r="B780" s="542">
        <v>9741</v>
      </c>
      <c r="C780" s="543">
        <v>147</v>
      </c>
      <c r="D780" s="543">
        <v>2706</v>
      </c>
      <c r="E780" s="544">
        <v>31</v>
      </c>
      <c r="F780" s="512"/>
      <c r="G780" s="480"/>
      <c r="H780" s="481"/>
      <c r="I780" s="482"/>
      <c r="J780" s="483">
        <v>2482.8171122335671</v>
      </c>
      <c r="K780" s="480">
        <v>28</v>
      </c>
      <c r="L780" s="481"/>
      <c r="M780" s="482"/>
      <c r="N780" s="483"/>
      <c r="O780" s="513"/>
      <c r="P780" s="514">
        <v>44</v>
      </c>
      <c r="Q780" s="486">
        <v>7190</v>
      </c>
      <c r="R780" s="485">
        <v>1.48</v>
      </c>
      <c r="S780" s="515">
        <v>24</v>
      </c>
      <c r="T780" s="516">
        <v>5380</v>
      </c>
      <c r="U780" s="490">
        <v>58</v>
      </c>
      <c r="V780" s="373"/>
      <c r="W780" s="391" t="s">
        <v>511</v>
      </c>
    </row>
    <row r="781" spans="1:23" ht="13.5" thickBot="1">
      <c r="A781" s="408" t="s">
        <v>1252</v>
      </c>
      <c r="B781" s="545">
        <v>12812</v>
      </c>
      <c r="C781" s="510">
        <v>147</v>
      </c>
      <c r="D781" s="510">
        <v>3444</v>
      </c>
      <c r="E781" s="511">
        <v>29.5</v>
      </c>
      <c r="F781" s="517"/>
      <c r="G781" s="518"/>
      <c r="H781" s="519"/>
      <c r="I781" s="520"/>
      <c r="J781" s="521">
        <v>3317.1240770731874</v>
      </c>
      <c r="K781" s="518">
        <v>19</v>
      </c>
      <c r="L781" s="519"/>
      <c r="M781" s="520"/>
      <c r="N781" s="521"/>
      <c r="O781" s="522"/>
      <c r="P781" s="523">
        <v>33</v>
      </c>
      <c r="Q781" s="419">
        <v>9560</v>
      </c>
      <c r="R781" s="418">
        <v>1.9</v>
      </c>
      <c r="S781" s="524">
        <v>32</v>
      </c>
      <c r="T781" s="525">
        <v>7180</v>
      </c>
      <c r="U781" s="423">
        <v>58</v>
      </c>
      <c r="V781" s="373"/>
      <c r="W781" s="391" t="s">
        <v>511</v>
      </c>
    </row>
    <row r="782" spans="1:23">
      <c r="A782" s="552" t="s">
        <v>1253</v>
      </c>
      <c r="B782" s="553">
        <v>1.17</v>
      </c>
      <c r="C782" s="554">
        <v>4.33</v>
      </c>
      <c r="D782" s="554">
        <v>0.48699999999999999</v>
      </c>
      <c r="E782" s="555">
        <v>1.73</v>
      </c>
      <c r="F782" s="556"/>
      <c r="G782" s="557"/>
      <c r="H782" s="558">
        <v>0.44870188775305436</v>
      </c>
      <c r="I782" s="559">
        <v>4150</v>
      </c>
      <c r="J782" s="560"/>
      <c r="K782" s="557"/>
      <c r="L782" s="558"/>
      <c r="M782" s="559"/>
      <c r="N782" s="560"/>
      <c r="O782" s="561"/>
      <c r="P782" s="562">
        <v>6565</v>
      </c>
      <c r="Q782" s="563">
        <v>1.0200000000000001E-2</v>
      </c>
      <c r="R782" s="564">
        <v>13</v>
      </c>
      <c r="S782" s="565">
        <v>19</v>
      </c>
      <c r="T782" s="566">
        <v>17.382100000000001</v>
      </c>
      <c r="U782" s="567">
        <v>6</v>
      </c>
      <c r="V782" s="373"/>
      <c r="W782" s="391" t="s">
        <v>511</v>
      </c>
    </row>
    <row r="783" spans="1:23">
      <c r="A783" s="476" t="s">
        <v>1254</v>
      </c>
      <c r="B783" s="542">
        <v>1.17</v>
      </c>
      <c r="C783" s="543">
        <v>4.33</v>
      </c>
      <c r="D783" s="543">
        <v>0.48699999999999999</v>
      </c>
      <c r="E783" s="544">
        <v>1.73</v>
      </c>
      <c r="F783" s="512"/>
      <c r="G783" s="480"/>
      <c r="H783" s="481"/>
      <c r="I783" s="482"/>
      <c r="J783" s="483">
        <v>0.414767427451606</v>
      </c>
      <c r="K783" s="480">
        <v>9900</v>
      </c>
      <c r="L783" s="481"/>
      <c r="M783" s="482"/>
      <c r="N783" s="483"/>
      <c r="O783" s="513"/>
      <c r="P783" s="514">
        <v>13766</v>
      </c>
      <c r="Q783" s="486">
        <v>1.0200000000000001E-2</v>
      </c>
      <c r="R783" s="485">
        <v>13</v>
      </c>
      <c r="S783" s="515">
        <v>19</v>
      </c>
      <c r="T783" s="516">
        <v>17.382100000000001</v>
      </c>
      <c r="U783" s="490">
        <v>6</v>
      </c>
      <c r="V783" s="373"/>
      <c r="W783" s="391" t="s">
        <v>511</v>
      </c>
    </row>
    <row r="784" spans="1:23">
      <c r="A784" s="476" t="s">
        <v>1255</v>
      </c>
      <c r="B784" s="542">
        <v>1.17</v>
      </c>
      <c r="C784" s="543">
        <v>4.33</v>
      </c>
      <c r="D784" s="543">
        <v>0.48699999999999999</v>
      </c>
      <c r="E784" s="544">
        <v>1.73</v>
      </c>
      <c r="F784" s="512"/>
      <c r="G784" s="480"/>
      <c r="H784" s="481"/>
      <c r="I784" s="482"/>
      <c r="J784" s="483"/>
      <c r="K784" s="480"/>
      <c r="L784" s="481">
        <v>0.36804580590000802</v>
      </c>
      <c r="M784" s="482">
        <v>14400</v>
      </c>
      <c r="N784" s="483"/>
      <c r="O784" s="513"/>
      <c r="P784" s="514">
        <v>16000</v>
      </c>
      <c r="Q784" s="486">
        <v>1.0200000000000001E-2</v>
      </c>
      <c r="R784" s="485">
        <v>13</v>
      </c>
      <c r="S784" s="515">
        <v>19</v>
      </c>
      <c r="T784" s="516">
        <v>17.382100000000001</v>
      </c>
      <c r="U784" s="490">
        <v>6</v>
      </c>
      <c r="V784" s="373"/>
      <c r="W784" s="391" t="s">
        <v>511</v>
      </c>
    </row>
    <row r="785" spans="1:23">
      <c r="A785" s="476" t="s">
        <v>1256</v>
      </c>
      <c r="B785" s="542">
        <v>1.19</v>
      </c>
      <c r="C785" s="543">
        <v>8.6999999999999993</v>
      </c>
      <c r="D785" s="543">
        <v>0.50900000000000001</v>
      </c>
      <c r="E785" s="544">
        <v>3.37</v>
      </c>
      <c r="F785" s="512"/>
      <c r="G785" s="480"/>
      <c r="H785" s="481">
        <v>0.4297183463481174</v>
      </c>
      <c r="I785" s="482">
        <v>9000</v>
      </c>
      <c r="J785" s="483"/>
      <c r="K785" s="480"/>
      <c r="L785" s="481"/>
      <c r="M785" s="482"/>
      <c r="N785" s="483"/>
      <c r="O785" s="513"/>
      <c r="P785" s="514">
        <v>12319</v>
      </c>
      <c r="Q785" s="486">
        <v>1.0200000000000001E-2</v>
      </c>
      <c r="R785" s="485">
        <v>3.42</v>
      </c>
      <c r="S785" s="515">
        <v>5.2</v>
      </c>
      <c r="T785" s="516">
        <v>9.3041110000000007</v>
      </c>
      <c r="U785" s="490">
        <v>6</v>
      </c>
      <c r="V785" s="373"/>
      <c r="W785" s="391" t="s">
        <v>511</v>
      </c>
    </row>
    <row r="786" spans="1:23">
      <c r="A786" s="476" t="s">
        <v>1257</v>
      </c>
      <c r="B786" s="542">
        <v>1.19</v>
      </c>
      <c r="C786" s="543">
        <v>8.6999999999999993</v>
      </c>
      <c r="D786" s="543">
        <v>0.50900000000000001</v>
      </c>
      <c r="E786" s="544">
        <v>3.37</v>
      </c>
      <c r="F786" s="512"/>
      <c r="G786" s="480"/>
      <c r="H786" s="481"/>
      <c r="I786" s="482"/>
      <c r="J786" s="483">
        <v>0.30970691628693148</v>
      </c>
      <c r="K786" s="480">
        <v>18500</v>
      </c>
      <c r="L786" s="481"/>
      <c r="M786" s="482"/>
      <c r="N786" s="483"/>
      <c r="O786" s="513"/>
      <c r="P786" s="514">
        <v>20000</v>
      </c>
      <c r="Q786" s="486">
        <v>1.0200000000000001E-2</v>
      </c>
      <c r="R786" s="485">
        <v>3.42</v>
      </c>
      <c r="S786" s="515">
        <v>5.2</v>
      </c>
      <c r="T786" s="516">
        <v>9.3041110000000007</v>
      </c>
      <c r="U786" s="490">
        <v>6</v>
      </c>
      <c r="V786" s="373"/>
      <c r="W786" s="391" t="s">
        <v>511</v>
      </c>
    </row>
    <row r="787" spans="1:23">
      <c r="A787" s="476" t="s">
        <v>1258</v>
      </c>
      <c r="B787" s="542">
        <v>1.23</v>
      </c>
      <c r="C787" s="543">
        <v>13.8</v>
      </c>
      <c r="D787" s="543">
        <v>0.49199999999999999</v>
      </c>
      <c r="E787" s="544">
        <v>5.21</v>
      </c>
      <c r="F787" s="512"/>
      <c r="G787" s="480"/>
      <c r="H787" s="481">
        <v>0.34500684437985052</v>
      </c>
      <c r="I787" s="482">
        <v>15500</v>
      </c>
      <c r="J787" s="483"/>
      <c r="K787" s="480"/>
      <c r="L787" s="481"/>
      <c r="M787" s="482"/>
      <c r="N787" s="483"/>
      <c r="O787" s="513"/>
      <c r="P787" s="514">
        <v>19702</v>
      </c>
      <c r="Q787" s="486">
        <v>1.0200000000000001E-2</v>
      </c>
      <c r="R787" s="485">
        <v>1.44</v>
      </c>
      <c r="S787" s="515">
        <v>2.2000000000000002</v>
      </c>
      <c r="T787" s="516">
        <v>5.8349039999999999</v>
      </c>
      <c r="U787" s="490">
        <v>6</v>
      </c>
      <c r="V787" s="373"/>
      <c r="W787" s="391" t="s">
        <v>511</v>
      </c>
    </row>
    <row r="788" spans="1:23">
      <c r="A788" s="476" t="s">
        <v>1259</v>
      </c>
      <c r="B788" s="542">
        <v>1.23</v>
      </c>
      <c r="C788" s="543">
        <v>13.8</v>
      </c>
      <c r="D788" s="543">
        <v>0.49199999999999999</v>
      </c>
      <c r="E788" s="544">
        <v>5.21</v>
      </c>
      <c r="F788" s="512"/>
      <c r="G788" s="480"/>
      <c r="H788" s="481"/>
      <c r="I788" s="482"/>
      <c r="J788" s="483">
        <v>0.29520674928335428</v>
      </c>
      <c r="K788" s="480">
        <v>18600</v>
      </c>
      <c r="L788" s="481"/>
      <c r="M788" s="482"/>
      <c r="N788" s="483"/>
      <c r="O788" s="513"/>
      <c r="P788" s="514">
        <v>20000</v>
      </c>
      <c r="Q788" s="486">
        <v>1.0200000000000001E-2</v>
      </c>
      <c r="R788" s="485">
        <v>1.44</v>
      </c>
      <c r="S788" s="515">
        <v>2.2000000000000002</v>
      </c>
      <c r="T788" s="516">
        <v>5.8349039999999999</v>
      </c>
      <c r="U788" s="490">
        <v>6</v>
      </c>
      <c r="V788" s="373"/>
      <c r="W788" s="391" t="s">
        <v>511</v>
      </c>
    </row>
    <row r="789" spans="1:23">
      <c r="A789" s="476" t="s">
        <v>1260</v>
      </c>
      <c r="B789" s="542">
        <v>2.33</v>
      </c>
      <c r="C789" s="543">
        <v>4.33</v>
      </c>
      <c r="D789" s="543">
        <v>0.876</v>
      </c>
      <c r="E789" s="544">
        <v>1.53</v>
      </c>
      <c r="F789" s="512"/>
      <c r="G789" s="480"/>
      <c r="H789" s="481">
        <v>0.85343954991306192</v>
      </c>
      <c r="I789" s="482">
        <v>2070</v>
      </c>
      <c r="J789" s="483"/>
      <c r="K789" s="480"/>
      <c r="L789" s="481"/>
      <c r="M789" s="482"/>
      <c r="N789" s="483"/>
      <c r="O789" s="513"/>
      <c r="P789" s="514">
        <v>3359</v>
      </c>
      <c r="Q789" s="486">
        <v>1.49E-2</v>
      </c>
      <c r="R789" s="485">
        <v>20</v>
      </c>
      <c r="S789" s="515">
        <v>36</v>
      </c>
      <c r="T789" s="516">
        <v>35.4</v>
      </c>
      <c r="U789" s="490">
        <v>6</v>
      </c>
      <c r="V789" s="373"/>
      <c r="W789" s="391" t="s">
        <v>511</v>
      </c>
    </row>
    <row r="790" spans="1:23">
      <c r="A790" s="476" t="s">
        <v>1261</v>
      </c>
      <c r="B790" s="542">
        <v>2.33</v>
      </c>
      <c r="C790" s="543">
        <v>4.33</v>
      </c>
      <c r="D790" s="543">
        <v>0.876</v>
      </c>
      <c r="E790" s="544">
        <v>1.53</v>
      </c>
      <c r="F790" s="512"/>
      <c r="G790" s="480"/>
      <c r="H790" s="481"/>
      <c r="I790" s="482"/>
      <c r="J790" s="483">
        <v>0.79409940026903569</v>
      </c>
      <c r="K790" s="480">
        <v>4750</v>
      </c>
      <c r="L790" s="481"/>
      <c r="M790" s="482"/>
      <c r="N790" s="483"/>
      <c r="O790" s="513"/>
      <c r="P790" s="514">
        <v>6753</v>
      </c>
      <c r="Q790" s="486">
        <v>1.49E-2</v>
      </c>
      <c r="R790" s="485">
        <v>20</v>
      </c>
      <c r="S790" s="515">
        <v>36</v>
      </c>
      <c r="T790" s="516">
        <v>35.4</v>
      </c>
      <c r="U790" s="490">
        <v>6</v>
      </c>
      <c r="V790" s="373"/>
      <c r="W790" s="391" t="s">
        <v>511</v>
      </c>
    </row>
    <row r="791" spans="1:23">
      <c r="A791" s="476" t="s">
        <v>1262</v>
      </c>
      <c r="B791" s="542">
        <v>2.33</v>
      </c>
      <c r="C791" s="543">
        <v>4.33</v>
      </c>
      <c r="D791" s="543">
        <v>0.876</v>
      </c>
      <c r="E791" s="544">
        <v>1.53</v>
      </c>
      <c r="F791" s="512"/>
      <c r="G791" s="480"/>
      <c r="H791" s="481"/>
      <c r="I791" s="482"/>
      <c r="J791" s="483"/>
      <c r="K791" s="480"/>
      <c r="L791" s="481">
        <v>0.70832694452986378</v>
      </c>
      <c r="M791" s="482">
        <v>9100</v>
      </c>
      <c r="N791" s="483"/>
      <c r="O791" s="513"/>
      <c r="P791" s="514">
        <v>11291</v>
      </c>
      <c r="Q791" s="486">
        <v>1.49E-2</v>
      </c>
      <c r="R791" s="485">
        <v>20</v>
      </c>
      <c r="S791" s="515">
        <v>36</v>
      </c>
      <c r="T791" s="516">
        <v>35.4</v>
      </c>
      <c r="U791" s="490">
        <v>6</v>
      </c>
      <c r="V791" s="373"/>
      <c r="W791" s="391" t="s">
        <v>511</v>
      </c>
    </row>
    <row r="792" spans="1:23">
      <c r="A792" s="476" t="s">
        <v>1263</v>
      </c>
      <c r="B792" s="542">
        <v>2.33</v>
      </c>
      <c r="C792" s="543">
        <v>4.33</v>
      </c>
      <c r="D792" s="543">
        <v>0.876</v>
      </c>
      <c r="E792" s="544">
        <v>1.53</v>
      </c>
      <c r="F792" s="512"/>
      <c r="G792" s="480"/>
      <c r="H792" s="481"/>
      <c r="I792" s="482"/>
      <c r="J792" s="483"/>
      <c r="K792" s="480"/>
      <c r="L792" s="481"/>
      <c r="M792" s="482"/>
      <c r="N792" s="483">
        <v>0.64240722484365043</v>
      </c>
      <c r="O792" s="513">
        <v>11000</v>
      </c>
      <c r="P792" s="514">
        <v>13564</v>
      </c>
      <c r="Q792" s="486">
        <v>1.49E-2</v>
      </c>
      <c r="R792" s="485">
        <v>20</v>
      </c>
      <c r="S792" s="515">
        <v>36</v>
      </c>
      <c r="T792" s="516">
        <v>35.4</v>
      </c>
      <c r="U792" s="490">
        <v>6</v>
      </c>
      <c r="V792" s="373"/>
      <c r="W792" s="391" t="s">
        <v>511</v>
      </c>
    </row>
    <row r="793" spans="1:23">
      <c r="A793" s="476" t="s">
        <v>1264</v>
      </c>
      <c r="B793" s="542">
        <v>2.48</v>
      </c>
      <c r="C793" s="543">
        <v>8.65</v>
      </c>
      <c r="D793" s="543">
        <v>0.89900000000000002</v>
      </c>
      <c r="E793" s="544">
        <v>2.99</v>
      </c>
      <c r="F793" s="512"/>
      <c r="G793" s="480"/>
      <c r="H793" s="481">
        <v>0.82321522288911386</v>
      </c>
      <c r="I793" s="482">
        <v>4350</v>
      </c>
      <c r="J793" s="483"/>
      <c r="K793" s="480"/>
      <c r="L793" s="481"/>
      <c r="M793" s="482"/>
      <c r="N793" s="483"/>
      <c r="O793" s="513"/>
      <c r="P793" s="514">
        <v>6174</v>
      </c>
      <c r="Q793" s="486">
        <v>1.49E-2</v>
      </c>
      <c r="R793" s="485">
        <v>5.22</v>
      </c>
      <c r="S793" s="515">
        <v>9.6999999999999993</v>
      </c>
      <c r="T793" s="516">
        <v>18.536100000000001</v>
      </c>
      <c r="U793" s="490">
        <v>6</v>
      </c>
      <c r="V793" s="373"/>
      <c r="W793" s="391" t="s">
        <v>511</v>
      </c>
    </row>
    <row r="794" spans="1:23">
      <c r="A794" s="476" t="s">
        <v>1265</v>
      </c>
      <c r="B794" s="542">
        <v>2.48</v>
      </c>
      <c r="C794" s="543">
        <v>8.65</v>
      </c>
      <c r="D794" s="543">
        <v>0.89900000000000002</v>
      </c>
      <c r="E794" s="544">
        <v>2.99</v>
      </c>
      <c r="F794" s="512"/>
      <c r="G794" s="480"/>
      <c r="H794" s="481"/>
      <c r="I794" s="482"/>
      <c r="J794" s="483">
        <v>0.70664794732801528</v>
      </c>
      <c r="K794" s="480">
        <v>10000</v>
      </c>
      <c r="L794" s="481"/>
      <c r="M794" s="482"/>
      <c r="N794" s="483"/>
      <c r="O794" s="513"/>
      <c r="P794" s="514">
        <v>12944</v>
      </c>
      <c r="Q794" s="486">
        <v>1.49E-2</v>
      </c>
      <c r="R794" s="485">
        <v>5.22</v>
      </c>
      <c r="S794" s="515">
        <v>9.6999999999999993</v>
      </c>
      <c r="T794" s="516">
        <v>18.536100000000001</v>
      </c>
      <c r="U794" s="490">
        <v>6</v>
      </c>
      <c r="V794" s="373"/>
      <c r="W794" s="391" t="s">
        <v>511</v>
      </c>
    </row>
    <row r="795" spans="1:23">
      <c r="A795" s="476" t="s">
        <v>1266</v>
      </c>
      <c r="B795" s="542">
        <v>2.48</v>
      </c>
      <c r="C795" s="543">
        <v>8.65</v>
      </c>
      <c r="D795" s="543">
        <v>0.89900000000000002</v>
      </c>
      <c r="E795" s="544">
        <v>2.99</v>
      </c>
      <c r="F795" s="512"/>
      <c r="G795" s="480"/>
      <c r="H795" s="481"/>
      <c r="I795" s="482"/>
      <c r="J795" s="483"/>
      <c r="K795" s="480"/>
      <c r="L795" s="481">
        <v>0.49317090918607037</v>
      </c>
      <c r="M795" s="482">
        <v>15200</v>
      </c>
      <c r="N795" s="483"/>
      <c r="O795" s="513"/>
      <c r="P795" s="514">
        <v>16000</v>
      </c>
      <c r="Q795" s="486">
        <v>1.49E-2</v>
      </c>
      <c r="R795" s="485">
        <v>5.22</v>
      </c>
      <c r="S795" s="515">
        <v>9.6999999999999993</v>
      </c>
      <c r="T795" s="516">
        <v>18.536000000000001</v>
      </c>
      <c r="U795" s="490">
        <v>6</v>
      </c>
      <c r="V795" s="373"/>
      <c r="W795" s="391" t="s">
        <v>511</v>
      </c>
    </row>
    <row r="796" spans="1:23">
      <c r="A796" s="476" t="s">
        <v>1267</v>
      </c>
      <c r="B796" s="542">
        <v>2.2400000000000002</v>
      </c>
      <c r="C796" s="543">
        <v>15.5</v>
      </c>
      <c r="D796" s="543">
        <v>0.86799999999999999</v>
      </c>
      <c r="E796" s="544">
        <v>5.14</v>
      </c>
      <c r="F796" s="512"/>
      <c r="G796" s="480"/>
      <c r="H796" s="481">
        <v>0.70215416069953829</v>
      </c>
      <c r="I796" s="482">
        <v>8500</v>
      </c>
      <c r="J796" s="483"/>
      <c r="K796" s="480"/>
      <c r="L796" s="481"/>
      <c r="M796" s="482"/>
      <c r="N796" s="483"/>
      <c r="O796" s="513"/>
      <c r="P796" s="514">
        <v>11008</v>
      </c>
      <c r="Q796" s="486">
        <v>1.49E-2</v>
      </c>
      <c r="R796" s="485">
        <v>1.77</v>
      </c>
      <c r="S796" s="515">
        <v>3.2</v>
      </c>
      <c r="T796" s="516">
        <v>10.46</v>
      </c>
      <c r="U796" s="490">
        <v>6</v>
      </c>
      <c r="V796" s="373"/>
      <c r="W796" s="391" t="s">
        <v>511</v>
      </c>
    </row>
    <row r="797" spans="1:23">
      <c r="A797" s="476" t="s">
        <v>1268</v>
      </c>
      <c r="B797" s="542">
        <v>2.2400000000000002</v>
      </c>
      <c r="C797" s="543">
        <v>15.5</v>
      </c>
      <c r="D797" s="543">
        <v>0.86799999999999999</v>
      </c>
      <c r="E797" s="544">
        <v>5.14</v>
      </c>
      <c r="F797" s="512"/>
      <c r="G797" s="480"/>
      <c r="H797" s="481"/>
      <c r="I797" s="482"/>
      <c r="J797" s="483">
        <v>0.25034642399860291</v>
      </c>
      <c r="K797" s="480">
        <v>18500</v>
      </c>
      <c r="L797" s="481"/>
      <c r="M797" s="482"/>
      <c r="N797" s="483"/>
      <c r="O797" s="513"/>
      <c r="P797" s="514">
        <v>20000</v>
      </c>
      <c r="Q797" s="486">
        <v>1.49E-2</v>
      </c>
      <c r="R797" s="485">
        <v>1.77</v>
      </c>
      <c r="S797" s="515">
        <v>3.2</v>
      </c>
      <c r="T797" s="516">
        <v>10.46</v>
      </c>
      <c r="U797" s="490">
        <v>6</v>
      </c>
      <c r="V797" s="373"/>
      <c r="W797" s="391" t="s">
        <v>511</v>
      </c>
    </row>
    <row r="798" spans="1:23">
      <c r="A798" s="476" t="s">
        <v>1269</v>
      </c>
      <c r="B798" s="542">
        <v>3.46</v>
      </c>
      <c r="C798" s="543">
        <v>4.8600000000000003</v>
      </c>
      <c r="D798" s="543">
        <v>1.1579999999999999</v>
      </c>
      <c r="E798" s="544">
        <v>1.54</v>
      </c>
      <c r="F798" s="512"/>
      <c r="G798" s="480"/>
      <c r="H798" s="481">
        <v>1.0725659208366858</v>
      </c>
      <c r="I798" s="482">
        <v>1380</v>
      </c>
      <c r="J798" s="483"/>
      <c r="K798" s="480"/>
      <c r="L798" s="481"/>
      <c r="M798" s="482"/>
      <c r="N798" s="483"/>
      <c r="O798" s="513"/>
      <c r="P798" s="514">
        <v>2455</v>
      </c>
      <c r="Q798" s="486">
        <v>2.0199999999999999E-2</v>
      </c>
      <c r="R798" s="485">
        <v>21.2</v>
      </c>
      <c r="S798" s="515">
        <v>41</v>
      </c>
      <c r="T798" s="516">
        <v>46.4</v>
      </c>
      <c r="U798" s="490">
        <v>6</v>
      </c>
      <c r="V798" s="373"/>
      <c r="W798" s="391" t="s">
        <v>511</v>
      </c>
    </row>
    <row r="799" spans="1:23">
      <c r="A799" s="476" t="s">
        <v>1270</v>
      </c>
      <c r="B799" s="542">
        <v>3.46</v>
      </c>
      <c r="C799" s="543">
        <v>4.8600000000000003</v>
      </c>
      <c r="D799" s="543">
        <v>1.1579999999999999</v>
      </c>
      <c r="E799" s="544">
        <v>1.54</v>
      </c>
      <c r="F799" s="512"/>
      <c r="G799" s="480"/>
      <c r="H799" s="481"/>
      <c r="I799" s="482"/>
      <c r="J799" s="483">
        <v>1.0203357995480415</v>
      </c>
      <c r="K799" s="480">
        <v>3650</v>
      </c>
      <c r="L799" s="481"/>
      <c r="M799" s="482"/>
      <c r="N799" s="483"/>
      <c r="O799" s="513"/>
      <c r="P799" s="514">
        <v>5155</v>
      </c>
      <c r="Q799" s="486">
        <v>2.0199999999999999E-2</v>
      </c>
      <c r="R799" s="485">
        <v>21.2</v>
      </c>
      <c r="S799" s="515">
        <v>41</v>
      </c>
      <c r="T799" s="516">
        <v>46.4</v>
      </c>
      <c r="U799" s="490">
        <v>6</v>
      </c>
      <c r="V799" s="373"/>
      <c r="W799" s="391" t="s">
        <v>511</v>
      </c>
    </row>
    <row r="800" spans="1:23">
      <c r="A800" s="476" t="s">
        <v>1271</v>
      </c>
      <c r="B800" s="542">
        <v>3.46</v>
      </c>
      <c r="C800" s="543">
        <v>4.8600000000000003</v>
      </c>
      <c r="D800" s="543">
        <v>1.1579999999999999</v>
      </c>
      <c r="E800" s="544">
        <v>1.54</v>
      </c>
      <c r="F800" s="512"/>
      <c r="G800" s="480"/>
      <c r="H800" s="481"/>
      <c r="I800" s="482"/>
      <c r="J800" s="483"/>
      <c r="K800" s="480"/>
      <c r="L800" s="481">
        <v>0.98952855922352334</v>
      </c>
      <c r="M800" s="482">
        <v>6900</v>
      </c>
      <c r="N800" s="483"/>
      <c r="O800" s="513"/>
      <c r="P800" s="514">
        <v>8619</v>
      </c>
      <c r="Q800" s="486">
        <v>2.0199999999999999E-2</v>
      </c>
      <c r="R800" s="485">
        <v>21.2</v>
      </c>
      <c r="S800" s="515">
        <v>41</v>
      </c>
      <c r="T800" s="516">
        <v>46.4</v>
      </c>
      <c r="U800" s="490">
        <v>6</v>
      </c>
      <c r="V800" s="373"/>
      <c r="W800" s="391" t="s">
        <v>511</v>
      </c>
    </row>
    <row r="801" spans="1:23">
      <c r="A801" s="476" t="s">
        <v>1272</v>
      </c>
      <c r="B801" s="542">
        <v>3.46</v>
      </c>
      <c r="C801" s="543">
        <v>4.8600000000000003</v>
      </c>
      <c r="D801" s="543">
        <v>1.1579999999999999</v>
      </c>
      <c r="E801" s="544">
        <v>1.54</v>
      </c>
      <c r="F801" s="512"/>
      <c r="G801" s="480"/>
      <c r="H801" s="481"/>
      <c r="I801" s="482"/>
      <c r="J801" s="483"/>
      <c r="K801" s="480"/>
      <c r="L801" s="481"/>
      <c r="M801" s="482"/>
      <c r="N801" s="483">
        <v>0.87628839255302382</v>
      </c>
      <c r="O801" s="513">
        <v>8500</v>
      </c>
      <c r="P801" s="514">
        <v>10354</v>
      </c>
      <c r="Q801" s="486">
        <v>2.0199999999999999E-2</v>
      </c>
      <c r="R801" s="485">
        <v>21.2</v>
      </c>
      <c r="S801" s="515">
        <v>41</v>
      </c>
      <c r="T801" s="516">
        <v>46.4</v>
      </c>
      <c r="U801" s="490">
        <v>6</v>
      </c>
      <c r="V801" s="373"/>
      <c r="W801" s="391" t="s">
        <v>511</v>
      </c>
    </row>
    <row r="802" spans="1:23">
      <c r="A802" s="476" t="s">
        <v>1273</v>
      </c>
      <c r="B802" s="542">
        <v>3.57</v>
      </c>
      <c r="C802" s="543">
        <v>7.73</v>
      </c>
      <c r="D802" s="543">
        <v>1.17</v>
      </c>
      <c r="E802" s="544">
        <v>2.4</v>
      </c>
      <c r="F802" s="512"/>
      <c r="G802" s="480"/>
      <c r="H802" s="481">
        <v>1.0672743242632983</v>
      </c>
      <c r="I802" s="482">
        <v>2550</v>
      </c>
      <c r="J802" s="483"/>
      <c r="K802" s="480"/>
      <c r="L802" s="481"/>
      <c r="M802" s="482"/>
      <c r="N802" s="483"/>
      <c r="O802" s="513"/>
      <c r="P802" s="514">
        <v>3799</v>
      </c>
      <c r="Q802" s="486">
        <v>2.0199999999999999E-2</v>
      </c>
      <c r="R802" s="485">
        <v>8.77</v>
      </c>
      <c r="S802" s="515">
        <v>17</v>
      </c>
      <c r="T802" s="516">
        <v>30</v>
      </c>
      <c r="U802" s="490">
        <v>6</v>
      </c>
      <c r="V802" s="373"/>
      <c r="W802" s="391" t="s">
        <v>511</v>
      </c>
    </row>
    <row r="803" spans="1:23">
      <c r="A803" s="476" t="s">
        <v>1274</v>
      </c>
      <c r="B803" s="542">
        <v>3.57</v>
      </c>
      <c r="C803" s="543">
        <v>7.73</v>
      </c>
      <c r="D803" s="543">
        <v>1.17</v>
      </c>
      <c r="E803" s="544">
        <v>2.4</v>
      </c>
      <c r="F803" s="512"/>
      <c r="G803" s="480"/>
      <c r="H803" s="481"/>
      <c r="I803" s="482"/>
      <c r="J803" s="483">
        <v>0.98185139021865797</v>
      </c>
      <c r="K803" s="480">
        <v>6030</v>
      </c>
      <c r="L803" s="481"/>
      <c r="M803" s="482"/>
      <c r="N803" s="483"/>
      <c r="O803" s="513"/>
      <c r="P803" s="514">
        <v>7967</v>
      </c>
      <c r="Q803" s="486">
        <v>2.0199999999999999E-2</v>
      </c>
      <c r="R803" s="485">
        <v>8.77</v>
      </c>
      <c r="S803" s="515">
        <v>17</v>
      </c>
      <c r="T803" s="516">
        <v>30</v>
      </c>
      <c r="U803" s="490">
        <v>6</v>
      </c>
      <c r="V803" s="373"/>
      <c r="W803" s="391" t="s">
        <v>511</v>
      </c>
    </row>
    <row r="804" spans="1:23">
      <c r="A804" s="476" t="s">
        <v>1275</v>
      </c>
      <c r="B804" s="542">
        <v>3.57</v>
      </c>
      <c r="C804" s="543">
        <v>7.73</v>
      </c>
      <c r="D804" s="543">
        <v>1.17</v>
      </c>
      <c r="E804" s="544">
        <v>2.4</v>
      </c>
      <c r="F804" s="512"/>
      <c r="G804" s="480"/>
      <c r="H804" s="481"/>
      <c r="I804" s="482"/>
      <c r="J804" s="483"/>
      <c r="K804" s="480"/>
      <c r="L804" s="481">
        <v>0.73391973757660023</v>
      </c>
      <c r="M804" s="482">
        <v>11450</v>
      </c>
      <c r="N804" s="483"/>
      <c r="O804" s="513"/>
      <c r="P804" s="514">
        <v>13319</v>
      </c>
      <c r="Q804" s="486">
        <v>2.0199999999999999E-2</v>
      </c>
      <c r="R804" s="485">
        <v>8.77</v>
      </c>
      <c r="S804" s="515">
        <v>17</v>
      </c>
      <c r="T804" s="516">
        <v>30</v>
      </c>
      <c r="U804" s="490">
        <v>6</v>
      </c>
      <c r="V804" s="373"/>
      <c r="W804" s="391" t="s">
        <v>511</v>
      </c>
    </row>
    <row r="805" spans="1:23">
      <c r="A805" s="476" t="s">
        <v>1276</v>
      </c>
      <c r="B805" s="542">
        <v>3.57</v>
      </c>
      <c r="C805" s="543">
        <v>7.73</v>
      </c>
      <c r="D805" s="543">
        <v>1.17</v>
      </c>
      <c r="E805" s="544">
        <v>2.4</v>
      </c>
      <c r="F805" s="512"/>
      <c r="G805" s="480"/>
      <c r="H805" s="481"/>
      <c r="I805" s="482"/>
      <c r="J805" s="483"/>
      <c r="K805" s="480"/>
      <c r="L805" s="481"/>
      <c r="M805" s="482"/>
      <c r="N805" s="483">
        <v>0.49415940372588485</v>
      </c>
      <c r="O805" s="513">
        <v>14300</v>
      </c>
      <c r="P805" s="514">
        <v>16000</v>
      </c>
      <c r="Q805" s="486">
        <v>2.0199999999999999E-2</v>
      </c>
      <c r="R805" s="485">
        <v>8.77</v>
      </c>
      <c r="S805" s="515">
        <v>17</v>
      </c>
      <c r="T805" s="516">
        <v>30</v>
      </c>
      <c r="U805" s="490">
        <v>6</v>
      </c>
      <c r="V805" s="373"/>
      <c r="W805" s="391" t="s">
        <v>511</v>
      </c>
    </row>
    <row r="806" spans="1:23">
      <c r="A806" s="476" t="s">
        <v>1277</v>
      </c>
      <c r="B806" s="542">
        <v>3.58</v>
      </c>
      <c r="C806" s="543">
        <v>9.7200000000000006</v>
      </c>
      <c r="D806" s="543">
        <v>1.19</v>
      </c>
      <c r="E806" s="544">
        <v>3.05</v>
      </c>
      <c r="F806" s="512"/>
      <c r="G806" s="480"/>
      <c r="H806" s="481">
        <v>1.0724594626807715</v>
      </c>
      <c r="I806" s="482">
        <v>3250</v>
      </c>
      <c r="J806" s="483"/>
      <c r="K806" s="480"/>
      <c r="L806" s="481"/>
      <c r="M806" s="482"/>
      <c r="N806" s="483"/>
      <c r="O806" s="513"/>
      <c r="P806" s="514">
        <v>4762</v>
      </c>
      <c r="Q806" s="486">
        <v>2.0199999999999999E-2</v>
      </c>
      <c r="R806" s="485">
        <v>5.44</v>
      </c>
      <c r="S806" s="515">
        <v>11</v>
      </c>
      <c r="T806" s="516">
        <v>24</v>
      </c>
      <c r="U806" s="490">
        <v>6</v>
      </c>
      <c r="V806" s="373"/>
      <c r="W806" s="391" t="s">
        <v>511</v>
      </c>
    </row>
    <row r="807" spans="1:23">
      <c r="A807" s="476" t="s">
        <v>1278</v>
      </c>
      <c r="B807" s="542">
        <v>3.58</v>
      </c>
      <c r="C807" s="543">
        <v>9.7200000000000006</v>
      </c>
      <c r="D807" s="543">
        <v>1.19</v>
      </c>
      <c r="E807" s="544">
        <v>3.05</v>
      </c>
      <c r="F807" s="512"/>
      <c r="G807" s="480"/>
      <c r="H807" s="481"/>
      <c r="I807" s="482"/>
      <c r="J807" s="483">
        <v>0.94236479462306444</v>
      </c>
      <c r="K807" s="480">
        <v>7600</v>
      </c>
      <c r="L807" s="481"/>
      <c r="M807" s="482"/>
      <c r="N807" s="483"/>
      <c r="O807" s="513"/>
      <c r="P807" s="514">
        <v>9983</v>
      </c>
      <c r="Q807" s="486">
        <v>2.0199999999999999E-2</v>
      </c>
      <c r="R807" s="485">
        <v>5.44</v>
      </c>
      <c r="S807" s="515">
        <v>11</v>
      </c>
      <c r="T807" s="516">
        <v>24</v>
      </c>
      <c r="U807" s="490">
        <v>6</v>
      </c>
      <c r="V807" s="373"/>
      <c r="W807" s="391" t="s">
        <v>511</v>
      </c>
    </row>
    <row r="808" spans="1:23">
      <c r="A808" s="476" t="s">
        <v>1279</v>
      </c>
      <c r="B808" s="542">
        <v>3.58</v>
      </c>
      <c r="C808" s="543">
        <v>9.7200000000000006</v>
      </c>
      <c r="D808" s="543">
        <v>1.19</v>
      </c>
      <c r="E808" s="544">
        <v>3.05</v>
      </c>
      <c r="F808" s="512"/>
      <c r="G808" s="480"/>
      <c r="H808" s="481"/>
      <c r="I808" s="482"/>
      <c r="J808" s="483"/>
      <c r="K808" s="480"/>
      <c r="L808" s="481">
        <v>0.47746482927568601</v>
      </c>
      <c r="M808" s="482">
        <v>14500</v>
      </c>
      <c r="N808" s="483"/>
      <c r="O808" s="513"/>
      <c r="P808" s="514">
        <v>16000</v>
      </c>
      <c r="Q808" s="486">
        <v>2.0199999999999999E-2</v>
      </c>
      <c r="R808" s="485">
        <v>5.44</v>
      </c>
      <c r="S808" s="515">
        <v>11</v>
      </c>
      <c r="T808" s="516">
        <v>24</v>
      </c>
      <c r="U808" s="490">
        <v>6</v>
      </c>
      <c r="V808" s="373"/>
      <c r="W808" s="391" t="s">
        <v>511</v>
      </c>
    </row>
    <row r="809" spans="1:23">
      <c r="A809" s="476" t="s">
        <v>1280</v>
      </c>
      <c r="B809" s="542">
        <v>15.5</v>
      </c>
      <c r="C809" s="543">
        <v>17.2</v>
      </c>
      <c r="D809" s="543">
        <v>1.18</v>
      </c>
      <c r="E809" s="544">
        <v>4.66</v>
      </c>
      <c r="F809" s="512"/>
      <c r="G809" s="480"/>
      <c r="H809" s="481">
        <v>1.0070167308359925</v>
      </c>
      <c r="I809" s="482">
        <v>5500</v>
      </c>
      <c r="J809" s="483"/>
      <c r="K809" s="480"/>
      <c r="L809" s="481"/>
      <c r="M809" s="482"/>
      <c r="N809" s="483"/>
      <c r="O809" s="513"/>
      <c r="P809" s="514">
        <v>7333</v>
      </c>
      <c r="Q809" s="486">
        <v>2.0199999999999999E-2</v>
      </c>
      <c r="R809" s="485">
        <v>2.34</v>
      </c>
      <c r="S809" s="515">
        <v>4.7</v>
      </c>
      <c r="T809" s="516">
        <v>15.7</v>
      </c>
      <c r="U809" s="490">
        <v>6</v>
      </c>
      <c r="V809" s="373"/>
      <c r="W809" s="391" t="s">
        <v>511</v>
      </c>
    </row>
    <row r="810" spans="1:23">
      <c r="A810" s="476" t="s">
        <v>1281</v>
      </c>
      <c r="B810" s="542">
        <v>15.5</v>
      </c>
      <c r="C810" s="543">
        <v>17.2</v>
      </c>
      <c r="D810" s="543">
        <v>1.18</v>
      </c>
      <c r="E810" s="544">
        <v>4.66</v>
      </c>
      <c r="F810" s="512"/>
      <c r="G810" s="480"/>
      <c r="H810" s="481"/>
      <c r="I810" s="482"/>
      <c r="J810" s="483">
        <v>0.62437708443743556</v>
      </c>
      <c r="K810" s="480">
        <v>13000</v>
      </c>
      <c r="L810" s="481"/>
      <c r="M810" s="482"/>
      <c r="N810" s="483"/>
      <c r="O810" s="513"/>
      <c r="P810" s="514">
        <v>15373</v>
      </c>
      <c r="Q810" s="486">
        <v>2.0199999999999999E-2</v>
      </c>
      <c r="R810" s="485">
        <v>2.34</v>
      </c>
      <c r="S810" s="515">
        <v>4.7</v>
      </c>
      <c r="T810" s="516">
        <v>15.7</v>
      </c>
      <c r="U810" s="490">
        <v>6</v>
      </c>
      <c r="V810" s="373"/>
      <c r="W810" s="391" t="s">
        <v>511</v>
      </c>
    </row>
    <row r="811" spans="1:23">
      <c r="A811" s="476" t="s">
        <v>1282</v>
      </c>
      <c r="B811" s="542">
        <v>4.66</v>
      </c>
      <c r="C811" s="543">
        <v>5.46</v>
      </c>
      <c r="D811" s="543">
        <v>1.44</v>
      </c>
      <c r="E811" s="544">
        <v>1.6</v>
      </c>
      <c r="F811" s="512"/>
      <c r="G811" s="480"/>
      <c r="H811" s="481">
        <v>1.3285977858106046</v>
      </c>
      <c r="I811" s="482">
        <v>1150</v>
      </c>
      <c r="J811" s="483"/>
      <c r="K811" s="480"/>
      <c r="L811" s="481"/>
      <c r="M811" s="482"/>
      <c r="N811" s="483"/>
      <c r="O811" s="513"/>
      <c r="P811" s="514">
        <v>2022</v>
      </c>
      <c r="Q811" s="486">
        <v>2.5499999999999998E-2</v>
      </c>
      <c r="R811" s="485">
        <v>20.399999999999999</v>
      </c>
      <c r="S811" s="515">
        <v>44</v>
      </c>
      <c r="T811" s="516">
        <v>56.2</v>
      </c>
      <c r="U811" s="490">
        <v>6</v>
      </c>
      <c r="V811" s="373"/>
      <c r="W811" s="391" t="s">
        <v>511</v>
      </c>
    </row>
    <row r="812" spans="1:23">
      <c r="A812" s="476" t="s">
        <v>1283</v>
      </c>
      <c r="B812" s="542">
        <v>4.66</v>
      </c>
      <c r="C812" s="543">
        <v>5.46</v>
      </c>
      <c r="D812" s="543">
        <v>1.44</v>
      </c>
      <c r="E812" s="544">
        <v>1.6</v>
      </c>
      <c r="F812" s="512"/>
      <c r="G812" s="480"/>
      <c r="H812" s="481"/>
      <c r="I812" s="482"/>
      <c r="J812" s="483">
        <v>1.2891550390443522</v>
      </c>
      <c r="K812" s="480">
        <v>3000</v>
      </c>
      <c r="L812" s="481"/>
      <c r="M812" s="482"/>
      <c r="N812" s="483"/>
      <c r="O812" s="513"/>
      <c r="P812" s="514">
        <v>4251</v>
      </c>
      <c r="Q812" s="486">
        <v>2.5499999999999998E-2</v>
      </c>
      <c r="R812" s="485">
        <v>20.399999999999999</v>
      </c>
      <c r="S812" s="515">
        <v>44</v>
      </c>
      <c r="T812" s="516">
        <v>56.2</v>
      </c>
      <c r="U812" s="490">
        <v>6</v>
      </c>
      <c r="V812" s="373"/>
      <c r="W812" s="391" t="s">
        <v>511</v>
      </c>
    </row>
    <row r="813" spans="1:23">
      <c r="A813" s="476" t="s">
        <v>1284</v>
      </c>
      <c r="B813" s="542">
        <v>4.66</v>
      </c>
      <c r="C813" s="543">
        <v>5.46</v>
      </c>
      <c r="D813" s="543">
        <v>1.44</v>
      </c>
      <c r="E813" s="544">
        <v>1.6</v>
      </c>
      <c r="F813" s="512"/>
      <c r="G813" s="480"/>
      <c r="H813" s="481"/>
      <c r="I813" s="482"/>
      <c r="J813" s="483"/>
      <c r="K813" s="480"/>
      <c r="L813" s="481">
        <v>1.1791305349069114</v>
      </c>
      <c r="M813" s="482">
        <v>5750</v>
      </c>
      <c r="N813" s="483"/>
      <c r="O813" s="513"/>
      <c r="P813" s="514">
        <v>7109</v>
      </c>
      <c r="Q813" s="486">
        <v>2.5499999999999998E-2</v>
      </c>
      <c r="R813" s="485">
        <v>20.399999999999999</v>
      </c>
      <c r="S813" s="515">
        <v>44</v>
      </c>
      <c r="T813" s="516">
        <v>56.2</v>
      </c>
      <c r="U813" s="490">
        <v>6</v>
      </c>
      <c r="V813" s="373"/>
      <c r="W813" s="391" t="s">
        <v>511</v>
      </c>
    </row>
    <row r="814" spans="1:23">
      <c r="A814" s="476" t="s">
        <v>1285</v>
      </c>
      <c r="B814" s="542">
        <v>4.66</v>
      </c>
      <c r="C814" s="543">
        <v>5.46</v>
      </c>
      <c r="D814" s="543">
        <v>1.44</v>
      </c>
      <c r="E814" s="544">
        <v>1.6</v>
      </c>
      <c r="F814" s="512"/>
      <c r="G814" s="480"/>
      <c r="H814" s="481"/>
      <c r="I814" s="482"/>
      <c r="J814" s="483"/>
      <c r="K814" s="480"/>
      <c r="L814" s="481"/>
      <c r="M814" s="482"/>
      <c r="N814" s="483">
        <v>1.1106983262583334</v>
      </c>
      <c r="O814" s="513">
        <v>7050</v>
      </c>
      <c r="P814" s="514">
        <v>8541</v>
      </c>
      <c r="Q814" s="486">
        <v>2.5499999999999998E-2</v>
      </c>
      <c r="R814" s="485">
        <v>20.399999999999999</v>
      </c>
      <c r="S814" s="515">
        <v>44</v>
      </c>
      <c r="T814" s="516">
        <v>56.2</v>
      </c>
      <c r="U814" s="490">
        <v>6</v>
      </c>
      <c r="V814" s="373"/>
      <c r="W814" s="391" t="s">
        <v>511</v>
      </c>
    </row>
    <row r="815" spans="1:23">
      <c r="A815" s="476" t="s">
        <v>1286</v>
      </c>
      <c r="B815" s="542">
        <v>4.75</v>
      </c>
      <c r="C815" s="543">
        <v>8.6999999999999993</v>
      </c>
      <c r="D815" s="543">
        <v>1.41</v>
      </c>
      <c r="E815" s="544">
        <v>2.4</v>
      </c>
      <c r="F815" s="512"/>
      <c r="G815" s="480"/>
      <c r="H815" s="481">
        <v>1.2732395447351628</v>
      </c>
      <c r="I815" s="482">
        <v>2100</v>
      </c>
      <c r="J815" s="483"/>
      <c r="K815" s="480"/>
      <c r="L815" s="481"/>
      <c r="M815" s="482"/>
      <c r="N815" s="483"/>
      <c r="O815" s="513"/>
      <c r="P815" s="514">
        <v>3131</v>
      </c>
      <c r="Q815" s="486">
        <v>2.5499999999999998E-2</v>
      </c>
      <c r="R815" s="485">
        <v>9.02</v>
      </c>
      <c r="S815" s="515">
        <v>19</v>
      </c>
      <c r="T815" s="516">
        <v>36.4</v>
      </c>
      <c r="U815" s="490">
        <v>6</v>
      </c>
      <c r="V815" s="373"/>
      <c r="W815" s="391" t="s">
        <v>511</v>
      </c>
    </row>
    <row r="816" spans="1:23">
      <c r="A816" s="476" t="s">
        <v>1287</v>
      </c>
      <c r="B816" s="542">
        <v>4.75</v>
      </c>
      <c r="C816" s="543">
        <v>8.6999999999999993</v>
      </c>
      <c r="D816" s="543">
        <v>1.41</v>
      </c>
      <c r="E816" s="544">
        <v>2.4</v>
      </c>
      <c r="F816" s="512"/>
      <c r="G816" s="480"/>
      <c r="H816" s="481"/>
      <c r="I816" s="482"/>
      <c r="J816" s="483">
        <v>1.1888682496021099</v>
      </c>
      <c r="K816" s="480">
        <v>4980</v>
      </c>
      <c r="L816" s="481"/>
      <c r="M816" s="482"/>
      <c r="N816" s="483"/>
      <c r="O816" s="513"/>
      <c r="P816" s="514">
        <v>6571</v>
      </c>
      <c r="Q816" s="486">
        <v>2.5499999999999998E-2</v>
      </c>
      <c r="R816" s="485">
        <v>9.02</v>
      </c>
      <c r="S816" s="515">
        <v>19</v>
      </c>
      <c r="T816" s="516">
        <v>36.4</v>
      </c>
      <c r="U816" s="490">
        <v>6</v>
      </c>
      <c r="V816" s="373"/>
      <c r="W816" s="391" t="s">
        <v>511</v>
      </c>
    </row>
    <row r="817" spans="1:23">
      <c r="A817" s="476" t="s">
        <v>1288</v>
      </c>
      <c r="B817" s="542">
        <v>4.75</v>
      </c>
      <c r="C817" s="543">
        <v>8.6999999999999993</v>
      </c>
      <c r="D817" s="543">
        <v>1.41</v>
      </c>
      <c r="E817" s="544">
        <v>2.4</v>
      </c>
      <c r="F817" s="512"/>
      <c r="G817" s="480"/>
      <c r="H817" s="481"/>
      <c r="I817" s="482"/>
      <c r="J817" s="483"/>
      <c r="K817" s="480"/>
      <c r="L817" s="481">
        <v>0.90467020283814192</v>
      </c>
      <c r="M817" s="482">
        <v>9500</v>
      </c>
      <c r="N817" s="483"/>
      <c r="O817" s="513"/>
      <c r="P817" s="514">
        <v>10987</v>
      </c>
      <c r="Q817" s="486">
        <v>2.5499999999999998E-2</v>
      </c>
      <c r="R817" s="485">
        <v>9.02</v>
      </c>
      <c r="S817" s="515">
        <v>19</v>
      </c>
      <c r="T817" s="516">
        <v>36.4</v>
      </c>
      <c r="U817" s="490">
        <v>6</v>
      </c>
      <c r="V817" s="373"/>
      <c r="W817" s="391" t="s">
        <v>511</v>
      </c>
    </row>
    <row r="818" spans="1:23">
      <c r="A818" s="476" t="s">
        <v>1289</v>
      </c>
      <c r="B818" s="542">
        <v>4.75</v>
      </c>
      <c r="C818" s="543">
        <v>8.6999999999999993</v>
      </c>
      <c r="D818" s="543">
        <v>1.41</v>
      </c>
      <c r="E818" s="544">
        <v>2.4</v>
      </c>
      <c r="F818" s="512"/>
      <c r="G818" s="480"/>
      <c r="H818" s="481"/>
      <c r="I818" s="482"/>
      <c r="J818" s="483"/>
      <c r="K818" s="480"/>
      <c r="L818" s="481"/>
      <c r="M818" s="482"/>
      <c r="N818" s="483">
        <v>0.71412130987319988</v>
      </c>
      <c r="O818" s="513">
        <v>11500</v>
      </c>
      <c r="P818" s="514">
        <v>13200</v>
      </c>
      <c r="Q818" s="486">
        <v>2.5499999999999998E-2</v>
      </c>
      <c r="R818" s="485">
        <v>9.02</v>
      </c>
      <c r="S818" s="515">
        <v>19</v>
      </c>
      <c r="T818" s="516">
        <v>36.4</v>
      </c>
      <c r="U818" s="490">
        <v>6</v>
      </c>
      <c r="V818" s="373"/>
      <c r="W818" s="391" t="s">
        <v>511</v>
      </c>
    </row>
    <row r="819" spans="1:23">
      <c r="A819" s="476" t="s">
        <v>1290</v>
      </c>
      <c r="B819" s="542">
        <v>4.8</v>
      </c>
      <c r="C819" s="543">
        <v>10.9</v>
      </c>
      <c r="D819" s="543">
        <v>1.44</v>
      </c>
      <c r="E819" s="544">
        <v>3.1</v>
      </c>
      <c r="F819" s="512"/>
      <c r="G819" s="480"/>
      <c r="H819" s="481">
        <v>1.308607309866695</v>
      </c>
      <c r="I819" s="482">
        <v>2700</v>
      </c>
      <c r="J819" s="483"/>
      <c r="K819" s="480"/>
      <c r="L819" s="481"/>
      <c r="M819" s="482"/>
      <c r="N819" s="483"/>
      <c r="O819" s="513"/>
      <c r="P819" s="514">
        <v>3944</v>
      </c>
      <c r="Q819" s="486">
        <v>2.5499999999999998E-2</v>
      </c>
      <c r="R819" s="485">
        <v>5.44</v>
      </c>
      <c r="S819" s="515">
        <v>11.8</v>
      </c>
      <c r="T819" s="516">
        <v>29</v>
      </c>
      <c r="U819" s="490">
        <v>6</v>
      </c>
      <c r="V819" s="373"/>
      <c r="W819" s="391" t="s">
        <v>511</v>
      </c>
    </row>
    <row r="820" spans="1:23">
      <c r="A820" s="476" t="s">
        <v>1291</v>
      </c>
      <c r="B820" s="542">
        <v>4.8</v>
      </c>
      <c r="C820" s="543">
        <v>10.9</v>
      </c>
      <c r="D820" s="543">
        <v>1.44</v>
      </c>
      <c r="E820" s="544">
        <v>3.1</v>
      </c>
      <c r="F820" s="512"/>
      <c r="G820" s="480"/>
      <c r="H820" s="481"/>
      <c r="I820" s="482"/>
      <c r="J820" s="483">
        <v>1.1519786357127662</v>
      </c>
      <c r="K820" s="480">
        <v>6300</v>
      </c>
      <c r="L820" s="481"/>
      <c r="M820" s="482"/>
      <c r="N820" s="483"/>
      <c r="O820" s="513"/>
      <c r="P820" s="514">
        <v>8273</v>
      </c>
      <c r="Q820" s="486">
        <v>2.5499999999999998E-2</v>
      </c>
      <c r="R820" s="485">
        <v>5.44</v>
      </c>
      <c r="S820" s="515">
        <v>11.8</v>
      </c>
      <c r="T820" s="516">
        <v>29</v>
      </c>
      <c r="U820" s="490">
        <v>6</v>
      </c>
      <c r="V820" s="373"/>
      <c r="W820" s="391" t="s">
        <v>511</v>
      </c>
    </row>
    <row r="821" spans="1:23">
      <c r="A821" s="476" t="s">
        <v>1292</v>
      </c>
      <c r="B821" s="542">
        <v>4.8</v>
      </c>
      <c r="C821" s="543">
        <v>10.9</v>
      </c>
      <c r="D821" s="543">
        <v>1.44</v>
      </c>
      <c r="E821" s="544">
        <v>3.1</v>
      </c>
      <c r="F821" s="512"/>
      <c r="G821" s="480"/>
      <c r="H821" s="481"/>
      <c r="I821" s="482"/>
      <c r="J821" s="483"/>
      <c r="K821" s="480"/>
      <c r="L821" s="481">
        <v>0.66845076098596046</v>
      </c>
      <c r="M821" s="482">
        <v>12000</v>
      </c>
      <c r="N821" s="483"/>
      <c r="O821" s="513"/>
      <c r="P821" s="514">
        <v>13833</v>
      </c>
      <c r="Q821" s="486">
        <v>2.5499999999999998E-2</v>
      </c>
      <c r="R821" s="485">
        <v>5.44</v>
      </c>
      <c r="S821" s="515">
        <v>11.8</v>
      </c>
      <c r="T821" s="516">
        <v>29</v>
      </c>
      <c r="U821" s="490">
        <v>6</v>
      </c>
      <c r="V821" s="373"/>
      <c r="W821" s="391" t="s">
        <v>511</v>
      </c>
    </row>
    <row r="822" spans="1:23">
      <c r="A822" s="476" t="s">
        <v>1293</v>
      </c>
      <c r="B822" s="542">
        <v>4.91</v>
      </c>
      <c r="C822" s="543">
        <v>15.5</v>
      </c>
      <c r="D822" s="543">
        <v>1.41</v>
      </c>
      <c r="E822" s="544">
        <v>4.21</v>
      </c>
      <c r="F822" s="512"/>
      <c r="G822" s="480"/>
      <c r="H822" s="481">
        <v>1.2277667038517641</v>
      </c>
      <c r="I822" s="482">
        <v>4200</v>
      </c>
      <c r="J822" s="483"/>
      <c r="K822" s="480"/>
      <c r="L822" s="481"/>
      <c r="M822" s="482"/>
      <c r="N822" s="483"/>
      <c r="O822" s="513"/>
      <c r="P822" s="514">
        <v>5489</v>
      </c>
      <c r="Q822" s="486">
        <v>2.5499999999999998E-2</v>
      </c>
      <c r="R822" s="485">
        <v>2.94</v>
      </c>
      <c r="S822" s="515">
        <v>6.2</v>
      </c>
      <c r="T822" s="516">
        <v>20.9</v>
      </c>
      <c r="U822" s="490">
        <v>6</v>
      </c>
      <c r="V822" s="373"/>
      <c r="W822" s="391" t="s">
        <v>511</v>
      </c>
    </row>
    <row r="823" spans="1:23">
      <c r="A823" s="476" t="s">
        <v>1294</v>
      </c>
      <c r="B823" s="542">
        <v>4.91</v>
      </c>
      <c r="C823" s="543">
        <v>15.5</v>
      </c>
      <c r="D823" s="543">
        <v>1.41</v>
      </c>
      <c r="E823" s="544">
        <v>4.21</v>
      </c>
      <c r="F823" s="512"/>
      <c r="G823" s="480"/>
      <c r="H823" s="481"/>
      <c r="I823" s="482"/>
      <c r="J823" s="483">
        <v>0.909696148409465</v>
      </c>
      <c r="K823" s="480">
        <v>9500</v>
      </c>
      <c r="L823" s="481"/>
      <c r="M823" s="482"/>
      <c r="N823" s="483"/>
      <c r="O823" s="513"/>
      <c r="P823" s="514">
        <v>11509</v>
      </c>
      <c r="Q823" s="486">
        <v>2.5499999999999998E-2</v>
      </c>
      <c r="R823" s="485">
        <v>2.94</v>
      </c>
      <c r="S823" s="515">
        <v>6.2</v>
      </c>
      <c r="T823" s="516">
        <v>20.9</v>
      </c>
      <c r="U823" s="490">
        <v>6</v>
      </c>
      <c r="V823" s="373"/>
      <c r="W823" s="391" t="s">
        <v>511</v>
      </c>
    </row>
    <row r="824" spans="1:23">
      <c r="A824" s="476" t="s">
        <v>1295</v>
      </c>
      <c r="B824" s="542">
        <v>3.28</v>
      </c>
      <c r="C824" s="543">
        <v>4.32</v>
      </c>
      <c r="D824" s="543">
        <v>1.2</v>
      </c>
      <c r="E824" s="544">
        <v>1.53</v>
      </c>
      <c r="F824" s="512"/>
      <c r="G824" s="480"/>
      <c r="H824" s="481">
        <v>1.1018419137131217</v>
      </c>
      <c r="I824" s="482">
        <v>1300</v>
      </c>
      <c r="J824" s="483"/>
      <c r="K824" s="480"/>
      <c r="L824" s="481"/>
      <c r="M824" s="482"/>
      <c r="N824" s="483"/>
      <c r="O824" s="513"/>
      <c r="P824" s="514">
        <v>2308</v>
      </c>
      <c r="Q824" s="486">
        <v>3.3599999999999998E-2</v>
      </c>
      <c r="R824" s="485">
        <v>21.4</v>
      </c>
      <c r="S824" s="515">
        <v>38</v>
      </c>
      <c r="T824" s="516">
        <v>49.3</v>
      </c>
      <c r="U824" s="490">
        <v>8</v>
      </c>
      <c r="V824" s="373"/>
      <c r="W824" s="391" t="s">
        <v>511</v>
      </c>
    </row>
    <row r="825" spans="1:23">
      <c r="A825" s="476" t="s">
        <v>1296</v>
      </c>
      <c r="B825" s="542">
        <v>3.28</v>
      </c>
      <c r="C825" s="543">
        <v>4.32</v>
      </c>
      <c r="D825" s="543">
        <v>1.2</v>
      </c>
      <c r="E825" s="544">
        <v>1.53</v>
      </c>
      <c r="F825" s="512"/>
      <c r="G825" s="480"/>
      <c r="H825" s="481"/>
      <c r="I825" s="482"/>
      <c r="J825" s="483">
        <v>1.083203791789616</v>
      </c>
      <c r="K825" s="480">
        <v>3350</v>
      </c>
      <c r="L825" s="481"/>
      <c r="M825" s="482"/>
      <c r="N825" s="483"/>
      <c r="O825" s="513"/>
      <c r="P825" s="514">
        <v>4849</v>
      </c>
      <c r="Q825" s="486">
        <v>3.3599999999999998E-2</v>
      </c>
      <c r="R825" s="485">
        <v>21.4</v>
      </c>
      <c r="S825" s="515">
        <v>38</v>
      </c>
      <c r="T825" s="516">
        <v>49.3</v>
      </c>
      <c r="U825" s="490">
        <v>8</v>
      </c>
      <c r="V825" s="373"/>
      <c r="W825" s="391" t="s">
        <v>511</v>
      </c>
    </row>
    <row r="826" spans="1:23">
      <c r="A826" s="476" t="s">
        <v>1297</v>
      </c>
      <c r="B826" s="542">
        <v>3.28</v>
      </c>
      <c r="C826" s="543">
        <v>4.32</v>
      </c>
      <c r="D826" s="543">
        <v>1.2</v>
      </c>
      <c r="E826" s="544">
        <v>1.53</v>
      </c>
      <c r="F826" s="512"/>
      <c r="G826" s="480"/>
      <c r="H826" s="481"/>
      <c r="I826" s="482"/>
      <c r="J826" s="483"/>
      <c r="K826" s="480"/>
      <c r="L826" s="481">
        <v>0.9698504344662372</v>
      </c>
      <c r="M826" s="482">
        <v>6400</v>
      </c>
      <c r="N826" s="483"/>
      <c r="O826" s="513"/>
      <c r="P826" s="514">
        <v>8109</v>
      </c>
      <c r="Q826" s="486">
        <v>3.3599999999999998E-2</v>
      </c>
      <c r="R826" s="485">
        <v>21.4</v>
      </c>
      <c r="S826" s="515">
        <v>38</v>
      </c>
      <c r="T826" s="516">
        <v>49.3</v>
      </c>
      <c r="U826" s="490">
        <v>8</v>
      </c>
      <c r="V826" s="373"/>
      <c r="W826" s="391" t="s">
        <v>511</v>
      </c>
    </row>
    <row r="827" spans="1:23">
      <c r="A827" s="476" t="s">
        <v>1298</v>
      </c>
      <c r="B827" s="542">
        <v>3.28</v>
      </c>
      <c r="C827" s="543">
        <v>4.32</v>
      </c>
      <c r="D827" s="543">
        <v>1.2</v>
      </c>
      <c r="E827" s="544">
        <v>1.53</v>
      </c>
      <c r="F827" s="512"/>
      <c r="G827" s="480"/>
      <c r="H827" s="481"/>
      <c r="I827" s="482"/>
      <c r="J827" s="483"/>
      <c r="K827" s="480"/>
      <c r="L827" s="481"/>
      <c r="M827" s="482"/>
      <c r="N827" s="483">
        <v>0.89449107256710791</v>
      </c>
      <c r="O827" s="513">
        <v>7900</v>
      </c>
      <c r="P827" s="514">
        <v>9741</v>
      </c>
      <c r="Q827" s="486">
        <v>3.3599999999999998E-2</v>
      </c>
      <c r="R827" s="485">
        <v>21.4</v>
      </c>
      <c r="S827" s="515">
        <v>38</v>
      </c>
      <c r="T827" s="516">
        <v>49.3</v>
      </c>
      <c r="U827" s="490">
        <v>8</v>
      </c>
      <c r="V827" s="373"/>
      <c r="W827" s="391" t="s">
        <v>511</v>
      </c>
    </row>
    <row r="828" spans="1:23">
      <c r="A828" s="476" t="s">
        <v>1299</v>
      </c>
      <c r="B828" s="542">
        <v>3.43</v>
      </c>
      <c r="C828" s="543">
        <v>9.6300000000000008</v>
      </c>
      <c r="D828" s="543">
        <v>1.25</v>
      </c>
      <c r="E828" s="544">
        <v>3.25</v>
      </c>
      <c r="F828" s="512"/>
      <c r="G828" s="480"/>
      <c r="H828" s="481">
        <v>1.1186318857316073</v>
      </c>
      <c r="I828" s="482">
        <v>3500</v>
      </c>
      <c r="J828" s="483"/>
      <c r="K828" s="480"/>
      <c r="L828" s="481"/>
      <c r="M828" s="482"/>
      <c r="N828" s="483"/>
      <c r="O828" s="513"/>
      <c r="P828" s="514">
        <v>5022</v>
      </c>
      <c r="Q828" s="486">
        <v>3.3599999999999998E-2</v>
      </c>
      <c r="R828" s="485">
        <v>4.74</v>
      </c>
      <c r="S828" s="515">
        <v>9</v>
      </c>
      <c r="T828" s="516">
        <v>23.7</v>
      </c>
      <c r="U828" s="490">
        <v>8</v>
      </c>
      <c r="V828" s="373"/>
      <c r="W828" s="391" t="s">
        <v>511</v>
      </c>
    </row>
    <row r="829" spans="1:23">
      <c r="A829" s="476" t="s">
        <v>1300</v>
      </c>
      <c r="B829" s="542">
        <v>3.43</v>
      </c>
      <c r="C829" s="543">
        <v>9.6300000000000008</v>
      </c>
      <c r="D829" s="543">
        <v>1.25</v>
      </c>
      <c r="E829" s="544">
        <v>3.25</v>
      </c>
      <c r="F829" s="512"/>
      <c r="G829" s="480"/>
      <c r="H829" s="481"/>
      <c r="I829" s="482"/>
      <c r="J829" s="483">
        <v>0.93691211782398764</v>
      </c>
      <c r="K829" s="480">
        <v>7950</v>
      </c>
      <c r="L829" s="481"/>
      <c r="M829" s="482"/>
      <c r="N829" s="483"/>
      <c r="O829" s="513"/>
      <c r="P829" s="514">
        <v>10088</v>
      </c>
      <c r="Q829" s="486">
        <v>3.3599999999999998E-2</v>
      </c>
      <c r="R829" s="485">
        <v>4.74</v>
      </c>
      <c r="S829" s="515">
        <v>9</v>
      </c>
      <c r="T829" s="516">
        <v>23.7</v>
      </c>
      <c r="U829" s="490">
        <v>8</v>
      </c>
      <c r="V829" s="373"/>
      <c r="W829" s="391" t="s">
        <v>511</v>
      </c>
    </row>
    <row r="830" spans="1:23">
      <c r="A830" s="476" t="s">
        <v>1301</v>
      </c>
      <c r="B830" s="542">
        <v>3.43</v>
      </c>
      <c r="C830" s="543">
        <v>9.6300000000000008</v>
      </c>
      <c r="D830" s="543">
        <v>1.25</v>
      </c>
      <c r="E830" s="544">
        <v>3.25</v>
      </c>
      <c r="F830" s="512"/>
      <c r="G830" s="480"/>
      <c r="H830" s="481"/>
      <c r="I830" s="482"/>
      <c r="J830" s="483"/>
      <c r="K830" s="480"/>
      <c r="L830" s="481">
        <v>0.56102117439893107</v>
      </c>
      <c r="M830" s="482">
        <v>12000</v>
      </c>
      <c r="N830" s="483"/>
      <c r="O830" s="513"/>
      <c r="P830" s="514">
        <v>12000</v>
      </c>
      <c r="Q830" s="486">
        <v>3.3599999999999998E-2</v>
      </c>
      <c r="R830" s="485">
        <v>4.74</v>
      </c>
      <c r="S830" s="515">
        <v>9</v>
      </c>
      <c r="T830" s="516">
        <v>23.7</v>
      </c>
      <c r="U830" s="490">
        <v>8</v>
      </c>
      <c r="V830" s="373"/>
      <c r="W830" s="391" t="s">
        <v>511</v>
      </c>
    </row>
    <row r="831" spans="1:23">
      <c r="A831" s="476" t="s">
        <v>1302</v>
      </c>
      <c r="B831" s="542">
        <v>3.59</v>
      </c>
      <c r="C831" s="543">
        <v>19.399999999999999</v>
      </c>
      <c r="D831" s="543">
        <v>1.21</v>
      </c>
      <c r="E831" s="544">
        <v>6.25</v>
      </c>
      <c r="F831" s="512"/>
      <c r="G831" s="480"/>
      <c r="H831" s="481">
        <v>0.91036627448564134</v>
      </c>
      <c r="I831" s="482">
        <v>7500</v>
      </c>
      <c r="J831" s="483"/>
      <c r="K831" s="480"/>
      <c r="L831" s="481"/>
      <c r="M831" s="482"/>
      <c r="N831" s="483"/>
      <c r="O831" s="513"/>
      <c r="P831" s="514">
        <v>9539</v>
      </c>
      <c r="Q831" s="486">
        <v>3.3599999999999998E-2</v>
      </c>
      <c r="R831" s="485">
        <v>1.29</v>
      </c>
      <c r="S831" s="515">
        <v>2.4</v>
      </c>
      <c r="T831" s="516">
        <v>12.1</v>
      </c>
      <c r="U831" s="490">
        <v>8</v>
      </c>
      <c r="V831" s="373"/>
      <c r="W831" s="391" t="s">
        <v>511</v>
      </c>
    </row>
    <row r="832" spans="1:23">
      <c r="A832" s="476" t="s">
        <v>1303</v>
      </c>
      <c r="B832" s="542">
        <v>3.59</v>
      </c>
      <c r="C832" s="543">
        <v>19.399999999999999</v>
      </c>
      <c r="D832" s="543">
        <v>1.21</v>
      </c>
      <c r="E832" s="544">
        <v>6.25</v>
      </c>
      <c r="F832" s="512"/>
      <c r="G832" s="480"/>
      <c r="H832" s="481"/>
      <c r="I832" s="482"/>
      <c r="J832" s="483">
        <v>0.64723010190704111</v>
      </c>
      <c r="K832" s="480">
        <v>13500</v>
      </c>
      <c r="L832" s="481"/>
      <c r="M832" s="482"/>
      <c r="N832" s="483"/>
      <c r="O832" s="513"/>
      <c r="P832" s="514">
        <v>12000</v>
      </c>
      <c r="Q832" s="486">
        <v>3.3599999999999998E-2</v>
      </c>
      <c r="R832" s="485">
        <v>1.29</v>
      </c>
      <c r="S832" s="515">
        <v>2.4</v>
      </c>
      <c r="T832" s="516">
        <v>12.1</v>
      </c>
      <c r="U832" s="490">
        <v>8</v>
      </c>
      <c r="V832" s="373"/>
      <c r="W832" s="391" t="s">
        <v>511</v>
      </c>
    </row>
    <row r="833" spans="1:23">
      <c r="A833" s="476" t="s">
        <v>1304</v>
      </c>
      <c r="B833" s="542">
        <v>6.67</v>
      </c>
      <c r="C833" s="543">
        <v>5.39</v>
      </c>
      <c r="D833" s="543">
        <v>2.08</v>
      </c>
      <c r="E833" s="544">
        <v>1.59</v>
      </c>
      <c r="F833" s="512"/>
      <c r="G833" s="480"/>
      <c r="H833" s="481">
        <v>1.9757165349338732</v>
      </c>
      <c r="I833" s="482">
        <v>725</v>
      </c>
      <c r="J833" s="483"/>
      <c r="K833" s="480"/>
      <c r="L833" s="481"/>
      <c r="M833" s="482"/>
      <c r="N833" s="483"/>
      <c r="O833" s="513"/>
      <c r="P833" s="514">
        <v>1461</v>
      </c>
      <c r="Q833" s="486">
        <v>5.5600000000000004E-2</v>
      </c>
      <c r="R833" s="485">
        <v>23.8</v>
      </c>
      <c r="S833" s="515">
        <v>47</v>
      </c>
      <c r="T833" s="516">
        <v>80.8</v>
      </c>
      <c r="U833" s="490">
        <v>8</v>
      </c>
      <c r="V833" s="373"/>
      <c r="W833" s="391" t="s">
        <v>511</v>
      </c>
    </row>
    <row r="834" spans="1:23">
      <c r="A834" s="476" t="s">
        <v>1305</v>
      </c>
      <c r="B834" s="542">
        <v>6.67</v>
      </c>
      <c r="C834" s="543">
        <v>5.39</v>
      </c>
      <c r="D834" s="543">
        <v>2.08</v>
      </c>
      <c r="E834" s="544">
        <v>1.59</v>
      </c>
      <c r="F834" s="512"/>
      <c r="G834" s="480"/>
      <c r="H834" s="481"/>
      <c r="I834" s="482"/>
      <c r="J834" s="483">
        <v>1.8621128341751756</v>
      </c>
      <c r="K834" s="480">
        <v>2000</v>
      </c>
      <c r="L834" s="481"/>
      <c r="M834" s="482"/>
      <c r="N834" s="483"/>
      <c r="O834" s="513"/>
      <c r="P834" s="514">
        <v>2944</v>
      </c>
      <c r="Q834" s="486">
        <v>5.5600000000000004E-2</v>
      </c>
      <c r="R834" s="485">
        <v>23.8</v>
      </c>
      <c r="S834" s="515">
        <v>47</v>
      </c>
      <c r="T834" s="516">
        <v>80.8</v>
      </c>
      <c r="U834" s="490">
        <v>8</v>
      </c>
      <c r="V834" s="373"/>
      <c r="W834" s="391" t="s">
        <v>511</v>
      </c>
    </row>
    <row r="835" spans="1:23">
      <c r="A835" s="476" t="s">
        <v>1306</v>
      </c>
      <c r="B835" s="542">
        <v>6.67</v>
      </c>
      <c r="C835" s="543">
        <v>5.39</v>
      </c>
      <c r="D835" s="543">
        <v>2.08</v>
      </c>
      <c r="E835" s="544">
        <v>1.59</v>
      </c>
      <c r="F835" s="512"/>
      <c r="G835" s="480"/>
      <c r="H835" s="481"/>
      <c r="I835" s="482"/>
      <c r="J835" s="483"/>
      <c r="K835" s="480"/>
      <c r="L835" s="481">
        <v>1.7384616860807027</v>
      </c>
      <c r="M835" s="482">
        <v>3900</v>
      </c>
      <c r="N835" s="483"/>
      <c r="O835" s="513"/>
      <c r="P835" s="514">
        <v>4924</v>
      </c>
      <c r="Q835" s="486">
        <v>5.5600000000000004E-2</v>
      </c>
      <c r="R835" s="485">
        <v>23.8</v>
      </c>
      <c r="S835" s="515">
        <v>47</v>
      </c>
      <c r="T835" s="516">
        <v>80.8</v>
      </c>
      <c r="U835" s="490">
        <v>8</v>
      </c>
      <c r="V835" s="373"/>
      <c r="W835" s="391" t="s">
        <v>511</v>
      </c>
    </row>
    <row r="836" spans="1:23">
      <c r="A836" s="476" t="s">
        <v>1307</v>
      </c>
      <c r="B836" s="542">
        <v>6.67</v>
      </c>
      <c r="C836" s="543">
        <v>5.39</v>
      </c>
      <c r="D836" s="543">
        <v>2.08</v>
      </c>
      <c r="E836" s="544">
        <v>1.59</v>
      </c>
      <c r="F836" s="512"/>
      <c r="G836" s="480"/>
      <c r="H836" s="481"/>
      <c r="I836" s="482"/>
      <c r="J836" s="483"/>
      <c r="K836" s="480"/>
      <c r="L836" s="481"/>
      <c r="M836" s="482"/>
      <c r="N836" s="483">
        <v>1.6370222718023522</v>
      </c>
      <c r="O836" s="513">
        <v>4900</v>
      </c>
      <c r="P836" s="514">
        <v>5915</v>
      </c>
      <c r="Q836" s="486">
        <v>5.5600000000000004E-2</v>
      </c>
      <c r="R836" s="485">
        <v>23.8</v>
      </c>
      <c r="S836" s="515">
        <v>47</v>
      </c>
      <c r="T836" s="516">
        <v>80.8</v>
      </c>
      <c r="U836" s="490">
        <v>8</v>
      </c>
      <c r="V836" s="373"/>
      <c r="W836" s="391" t="s">
        <v>511</v>
      </c>
    </row>
    <row r="837" spans="1:23">
      <c r="A837" s="476" t="s">
        <v>1308</v>
      </c>
      <c r="B837" s="542">
        <v>6.83</v>
      </c>
      <c r="C837" s="543">
        <v>8.57</v>
      </c>
      <c r="D837" s="543">
        <v>2.08</v>
      </c>
      <c r="E837" s="544">
        <v>2.42</v>
      </c>
      <c r="F837" s="512"/>
      <c r="G837" s="480"/>
      <c r="H837" s="481">
        <v>1.909859317102744</v>
      </c>
      <c r="I837" s="482">
        <v>1350</v>
      </c>
      <c r="J837" s="483"/>
      <c r="K837" s="480"/>
      <c r="L837" s="481"/>
      <c r="M837" s="482"/>
      <c r="N837" s="483"/>
      <c r="O837" s="513"/>
      <c r="P837" s="514">
        <v>2139</v>
      </c>
      <c r="Q837" s="486">
        <v>5.5600000000000004E-2</v>
      </c>
      <c r="R837" s="485">
        <v>10.3</v>
      </c>
      <c r="S837" s="515">
        <v>20</v>
      </c>
      <c r="T837" s="516">
        <v>53.4</v>
      </c>
      <c r="U837" s="490">
        <v>8</v>
      </c>
      <c r="V837" s="373"/>
      <c r="W837" s="391" t="s">
        <v>511</v>
      </c>
    </row>
    <row r="838" spans="1:23">
      <c r="A838" s="476" t="s">
        <v>1309</v>
      </c>
      <c r="B838" s="542">
        <v>6.83</v>
      </c>
      <c r="C838" s="543">
        <v>8.57</v>
      </c>
      <c r="D838" s="543">
        <v>2.08</v>
      </c>
      <c r="E838" s="544">
        <v>2.42</v>
      </c>
      <c r="F838" s="512"/>
      <c r="G838" s="480"/>
      <c r="H838" s="481"/>
      <c r="I838" s="482"/>
      <c r="J838" s="483">
        <v>1.7941102675813656</v>
      </c>
      <c r="K838" s="480">
        <v>3300</v>
      </c>
      <c r="L838" s="481"/>
      <c r="M838" s="482"/>
      <c r="N838" s="483"/>
      <c r="O838" s="513"/>
      <c r="P838" s="514">
        <v>4489</v>
      </c>
      <c r="Q838" s="486">
        <v>5.5600000000000004E-2</v>
      </c>
      <c r="R838" s="485">
        <v>10.3</v>
      </c>
      <c r="S838" s="515">
        <v>20</v>
      </c>
      <c r="T838" s="516">
        <v>53.4</v>
      </c>
      <c r="U838" s="490">
        <v>8</v>
      </c>
      <c r="V838" s="373"/>
      <c r="W838" s="391" t="s">
        <v>511</v>
      </c>
    </row>
    <row r="839" spans="1:23">
      <c r="A839" s="476" t="s">
        <v>1310</v>
      </c>
      <c r="B839" s="542">
        <v>6.83</v>
      </c>
      <c r="C839" s="543">
        <v>8.57</v>
      </c>
      <c r="D839" s="543">
        <v>2.08</v>
      </c>
      <c r="E839" s="544">
        <v>2.42</v>
      </c>
      <c r="F839" s="512"/>
      <c r="G839" s="480"/>
      <c r="H839" s="481"/>
      <c r="I839" s="482"/>
      <c r="J839" s="483"/>
      <c r="K839" s="480"/>
      <c r="L839" s="481">
        <v>1.382510102678852</v>
      </c>
      <c r="M839" s="482">
        <v>6700</v>
      </c>
      <c r="N839" s="483"/>
      <c r="O839" s="513"/>
      <c r="P839" s="514">
        <v>7505</v>
      </c>
      <c r="Q839" s="486">
        <v>5.5600000000000004E-2</v>
      </c>
      <c r="R839" s="485">
        <v>10.3</v>
      </c>
      <c r="S839" s="515">
        <v>20</v>
      </c>
      <c r="T839" s="516">
        <v>53.4</v>
      </c>
      <c r="U839" s="490">
        <v>8</v>
      </c>
      <c r="V839" s="373"/>
      <c r="W839" s="391" t="s">
        <v>511</v>
      </c>
    </row>
    <row r="840" spans="1:23">
      <c r="A840" s="476" t="s">
        <v>1311</v>
      </c>
      <c r="B840" s="542">
        <v>6.83</v>
      </c>
      <c r="C840" s="543">
        <v>8.57</v>
      </c>
      <c r="D840" s="543">
        <v>2.08</v>
      </c>
      <c r="E840" s="544">
        <v>2.42</v>
      </c>
      <c r="F840" s="512"/>
      <c r="G840" s="480"/>
      <c r="H840" s="481"/>
      <c r="I840" s="482"/>
      <c r="J840" s="483"/>
      <c r="K840" s="480"/>
      <c r="L840" s="481"/>
      <c r="M840" s="482"/>
      <c r="N840" s="483">
        <v>1.2401683877290546</v>
      </c>
      <c r="O840" s="513">
        <v>7700</v>
      </c>
      <c r="P840" s="514">
        <v>9016</v>
      </c>
      <c r="Q840" s="486">
        <v>5.5600000000000004E-2</v>
      </c>
      <c r="R840" s="485">
        <v>10.3</v>
      </c>
      <c r="S840" s="515">
        <v>20</v>
      </c>
      <c r="T840" s="516">
        <v>53.4</v>
      </c>
      <c r="U840" s="490">
        <v>8</v>
      </c>
      <c r="V840" s="373"/>
      <c r="W840" s="391" t="s">
        <v>511</v>
      </c>
    </row>
    <row r="841" spans="1:23">
      <c r="A841" s="476" t="s">
        <v>1312</v>
      </c>
      <c r="B841" s="542">
        <v>6.98</v>
      </c>
      <c r="C841" s="543">
        <v>10.9</v>
      </c>
      <c r="D841" s="543">
        <v>2.11</v>
      </c>
      <c r="E841" s="544">
        <v>3.1</v>
      </c>
      <c r="F841" s="512"/>
      <c r="G841" s="480"/>
      <c r="H841" s="481">
        <v>1.9098593171027443</v>
      </c>
      <c r="I841" s="482">
        <v>1800</v>
      </c>
      <c r="J841" s="483"/>
      <c r="K841" s="480"/>
      <c r="L841" s="481"/>
      <c r="M841" s="482"/>
      <c r="N841" s="483"/>
      <c r="O841" s="513"/>
      <c r="P841" s="514">
        <v>2704</v>
      </c>
      <c r="Q841" s="486">
        <v>5.5600000000000004E-2</v>
      </c>
      <c r="R841" s="485">
        <v>6.3</v>
      </c>
      <c r="S841" s="515">
        <v>12.8</v>
      </c>
      <c r="T841" s="516">
        <v>42.3</v>
      </c>
      <c r="U841" s="490">
        <v>8</v>
      </c>
      <c r="V841" s="373"/>
      <c r="W841" s="391" t="s">
        <v>511</v>
      </c>
    </row>
    <row r="842" spans="1:23">
      <c r="A842" s="476" t="s">
        <v>1313</v>
      </c>
      <c r="B842" s="542">
        <v>6.98</v>
      </c>
      <c r="C842" s="543">
        <v>10.9</v>
      </c>
      <c r="D842" s="543">
        <v>2.11</v>
      </c>
      <c r="E842" s="544">
        <v>3.1</v>
      </c>
      <c r="F842" s="512"/>
      <c r="G842" s="480"/>
      <c r="H842" s="481"/>
      <c r="I842" s="482"/>
      <c r="J842" s="483">
        <v>1.7301078519636623</v>
      </c>
      <c r="K842" s="480">
        <v>4250</v>
      </c>
      <c r="L842" s="481"/>
      <c r="M842" s="482"/>
      <c r="N842" s="483"/>
      <c r="O842" s="513"/>
      <c r="P842" s="514">
        <v>5671</v>
      </c>
      <c r="Q842" s="486">
        <v>5.5600000000000004E-2</v>
      </c>
      <c r="R842" s="485">
        <v>6.3</v>
      </c>
      <c r="S842" s="515">
        <v>12.8</v>
      </c>
      <c r="T842" s="516">
        <v>42.3</v>
      </c>
      <c r="U842" s="490">
        <v>8</v>
      </c>
      <c r="V842" s="373"/>
      <c r="W842" s="391" t="s">
        <v>511</v>
      </c>
    </row>
    <row r="843" spans="1:23">
      <c r="A843" s="476" t="s">
        <v>1314</v>
      </c>
      <c r="B843" s="542">
        <v>6.98</v>
      </c>
      <c r="C843" s="543">
        <v>10.9</v>
      </c>
      <c r="D843" s="543">
        <v>2.11</v>
      </c>
      <c r="E843" s="544">
        <v>3.1</v>
      </c>
      <c r="F843" s="512"/>
      <c r="G843" s="480"/>
      <c r="H843" s="481"/>
      <c r="I843" s="482"/>
      <c r="J843" s="483"/>
      <c r="K843" s="480"/>
      <c r="L843" s="481">
        <v>1.2055986939211072</v>
      </c>
      <c r="M843" s="482">
        <v>8000</v>
      </c>
      <c r="N843" s="483"/>
      <c r="O843" s="513"/>
      <c r="P843" s="514">
        <v>9481</v>
      </c>
      <c r="Q843" s="486">
        <v>5.5600000000000004E-2</v>
      </c>
      <c r="R843" s="485">
        <v>6.3</v>
      </c>
      <c r="S843" s="515">
        <v>12.8</v>
      </c>
      <c r="T843" s="516">
        <v>42.3</v>
      </c>
      <c r="U843" s="490">
        <v>8</v>
      </c>
      <c r="V843" s="373"/>
      <c r="W843" s="391" t="s">
        <v>511</v>
      </c>
    </row>
    <row r="844" spans="1:23">
      <c r="A844" s="476" t="s">
        <v>1315</v>
      </c>
      <c r="B844" s="542">
        <v>6.98</v>
      </c>
      <c r="C844" s="543">
        <v>10.9</v>
      </c>
      <c r="D844" s="543">
        <v>2.11</v>
      </c>
      <c r="E844" s="544">
        <v>3.1</v>
      </c>
      <c r="F844" s="512"/>
      <c r="G844" s="480"/>
      <c r="H844" s="481"/>
      <c r="I844" s="482"/>
      <c r="J844" s="483"/>
      <c r="K844" s="480"/>
      <c r="L844" s="481"/>
      <c r="M844" s="482"/>
      <c r="N844" s="483">
        <v>0.5496668278490825</v>
      </c>
      <c r="O844" s="513">
        <v>10250</v>
      </c>
      <c r="P844" s="514">
        <v>11390</v>
      </c>
      <c r="Q844" s="486">
        <v>5.5600000000000004E-2</v>
      </c>
      <c r="R844" s="485">
        <v>6.3</v>
      </c>
      <c r="S844" s="515">
        <v>12.8</v>
      </c>
      <c r="T844" s="516">
        <v>42.3</v>
      </c>
      <c r="U844" s="490">
        <v>8</v>
      </c>
      <c r="V844" s="373"/>
      <c r="W844" s="391" t="s">
        <v>511</v>
      </c>
    </row>
    <row r="845" spans="1:23">
      <c r="A845" s="476" t="s">
        <v>1316</v>
      </c>
      <c r="B845" s="542">
        <v>7.31</v>
      </c>
      <c r="C845" s="543">
        <v>21.8</v>
      </c>
      <c r="D845" s="543">
        <v>2.1749999999999998</v>
      </c>
      <c r="E845" s="544">
        <v>5.97</v>
      </c>
      <c r="F845" s="512"/>
      <c r="G845" s="480"/>
      <c r="H845" s="481">
        <v>1.8608885653821607</v>
      </c>
      <c r="I845" s="482">
        <v>3900</v>
      </c>
      <c r="J845" s="483"/>
      <c r="K845" s="480"/>
      <c r="L845" s="481"/>
      <c r="M845" s="482"/>
      <c r="N845" s="483"/>
      <c r="O845" s="513"/>
      <c r="P845" s="514">
        <v>5084</v>
      </c>
      <c r="Q845" s="486">
        <v>5.5600000000000004E-2</v>
      </c>
      <c r="R845" s="485">
        <v>1.69</v>
      </c>
      <c r="S845" s="515">
        <v>3.6</v>
      </c>
      <c r="T845" s="516">
        <v>22.6</v>
      </c>
      <c r="U845" s="490">
        <v>8</v>
      </c>
      <c r="V845" s="373"/>
      <c r="W845" s="391" t="s">
        <v>511</v>
      </c>
    </row>
    <row r="846" spans="1:23">
      <c r="A846" s="476" t="s">
        <v>1317</v>
      </c>
      <c r="B846" s="542">
        <v>7.31</v>
      </c>
      <c r="C846" s="543">
        <v>21.8</v>
      </c>
      <c r="D846" s="543">
        <v>2.1749999999999998</v>
      </c>
      <c r="E846" s="544">
        <v>5.97</v>
      </c>
      <c r="F846" s="512"/>
      <c r="G846" s="480"/>
      <c r="H846" s="481"/>
      <c r="I846" s="482"/>
      <c r="J846" s="483">
        <v>1.1051433127055206</v>
      </c>
      <c r="K846" s="480">
        <v>8900</v>
      </c>
      <c r="L846" s="481"/>
      <c r="M846" s="482"/>
      <c r="N846" s="483"/>
      <c r="O846" s="513"/>
      <c r="P846" s="514">
        <v>10660</v>
      </c>
      <c r="Q846" s="486">
        <v>5.5600000000000004E-2</v>
      </c>
      <c r="R846" s="485">
        <v>1.69</v>
      </c>
      <c r="S846" s="515">
        <v>3.6</v>
      </c>
      <c r="T846" s="516">
        <v>22.6</v>
      </c>
      <c r="U846" s="490">
        <v>8</v>
      </c>
      <c r="V846" s="373"/>
      <c r="W846" s="391" t="s">
        <v>511</v>
      </c>
    </row>
    <row r="847" spans="1:23">
      <c r="A847" s="476" t="s">
        <v>1318</v>
      </c>
      <c r="B847" s="542">
        <v>10.4</v>
      </c>
      <c r="C847" s="543">
        <v>5.9</v>
      </c>
      <c r="D847" s="543">
        <v>2.82</v>
      </c>
      <c r="E847" s="544">
        <v>1.64</v>
      </c>
      <c r="F847" s="512"/>
      <c r="G847" s="480"/>
      <c r="H847" s="481">
        <v>2.5783100780887045</v>
      </c>
      <c r="I847" s="482">
        <v>500</v>
      </c>
      <c r="J847" s="483"/>
      <c r="K847" s="480"/>
      <c r="L847" s="481"/>
      <c r="M847" s="482"/>
      <c r="N847" s="483"/>
      <c r="O847" s="513"/>
      <c r="P847" s="514">
        <v>1051</v>
      </c>
      <c r="Q847" s="486">
        <v>8.8099999999999998E-2</v>
      </c>
      <c r="R847" s="485">
        <v>26.6</v>
      </c>
      <c r="S847" s="515">
        <v>54</v>
      </c>
      <c r="T847" s="516">
        <v>108</v>
      </c>
      <c r="U847" s="490">
        <v>8</v>
      </c>
      <c r="V847" s="373"/>
      <c r="W847" s="391" t="s">
        <v>511</v>
      </c>
    </row>
    <row r="848" spans="1:23">
      <c r="A848" s="476" t="s">
        <v>1319</v>
      </c>
      <c r="B848" s="542">
        <v>10.4</v>
      </c>
      <c r="C848" s="543">
        <v>5.9</v>
      </c>
      <c r="D848" s="543">
        <v>2.82</v>
      </c>
      <c r="E848" s="544">
        <v>1.64</v>
      </c>
      <c r="F848" s="512"/>
      <c r="G848" s="480"/>
      <c r="H848" s="481"/>
      <c r="I848" s="482"/>
      <c r="J848" s="483">
        <v>2.5464790894703255</v>
      </c>
      <c r="K848" s="480">
        <v>1500</v>
      </c>
      <c r="L848" s="481"/>
      <c r="M848" s="482"/>
      <c r="N848" s="483"/>
      <c r="O848" s="513"/>
      <c r="P848" s="514">
        <v>2217</v>
      </c>
      <c r="Q848" s="486">
        <v>8.8099999999999998E-2</v>
      </c>
      <c r="R848" s="485">
        <v>26.6</v>
      </c>
      <c r="S848" s="515">
        <v>54</v>
      </c>
      <c r="T848" s="516">
        <v>108</v>
      </c>
      <c r="U848" s="490">
        <v>8</v>
      </c>
      <c r="V848" s="373"/>
      <c r="W848" s="391" t="s">
        <v>511</v>
      </c>
    </row>
    <row r="849" spans="1:23">
      <c r="A849" s="476" t="s">
        <v>1320</v>
      </c>
      <c r="B849" s="542">
        <v>10.4</v>
      </c>
      <c r="C849" s="543">
        <v>5.9</v>
      </c>
      <c r="D849" s="543">
        <v>2.82</v>
      </c>
      <c r="E849" s="544">
        <v>1.64</v>
      </c>
      <c r="F849" s="512"/>
      <c r="G849" s="480"/>
      <c r="H849" s="481"/>
      <c r="I849" s="482"/>
      <c r="J849" s="483"/>
      <c r="K849" s="480"/>
      <c r="L849" s="481">
        <v>2.4124538742350454</v>
      </c>
      <c r="M849" s="482">
        <v>2850</v>
      </c>
      <c r="N849" s="483"/>
      <c r="O849" s="513"/>
      <c r="P849" s="514">
        <v>3710</v>
      </c>
      <c r="Q849" s="486">
        <v>8.8099999999999998E-2</v>
      </c>
      <c r="R849" s="485">
        <v>26.6</v>
      </c>
      <c r="S849" s="515">
        <v>54</v>
      </c>
      <c r="T849" s="516">
        <v>108</v>
      </c>
      <c r="U849" s="490">
        <v>8</v>
      </c>
      <c r="V849" s="373"/>
      <c r="W849" s="391" t="s">
        <v>511</v>
      </c>
    </row>
    <row r="850" spans="1:23">
      <c r="A850" s="476" t="s">
        <v>1321</v>
      </c>
      <c r="B850" s="542">
        <v>10.4</v>
      </c>
      <c r="C850" s="543">
        <v>5.9</v>
      </c>
      <c r="D850" s="543">
        <v>2.82</v>
      </c>
      <c r="E850" s="544">
        <v>1.64</v>
      </c>
      <c r="F850" s="512"/>
      <c r="G850" s="480"/>
      <c r="H850" s="481"/>
      <c r="I850" s="482"/>
      <c r="J850" s="483"/>
      <c r="K850" s="480"/>
      <c r="L850" s="481"/>
      <c r="M850" s="482"/>
      <c r="N850" s="483">
        <v>2.3210095867568072</v>
      </c>
      <c r="O850" s="513">
        <v>3600</v>
      </c>
      <c r="P850" s="514">
        <v>4458</v>
      </c>
      <c r="Q850" s="486">
        <v>8.8099999999999998E-2</v>
      </c>
      <c r="R850" s="485">
        <v>26.6</v>
      </c>
      <c r="S850" s="515">
        <v>54</v>
      </c>
      <c r="T850" s="516">
        <v>108</v>
      </c>
      <c r="U850" s="490">
        <v>8</v>
      </c>
      <c r="V850" s="373"/>
      <c r="W850" s="391" t="s">
        <v>511</v>
      </c>
    </row>
    <row r="851" spans="1:23">
      <c r="A851" s="476" t="s">
        <v>1322</v>
      </c>
      <c r="B851" s="542">
        <v>10.4</v>
      </c>
      <c r="C851" s="543">
        <v>10.3</v>
      </c>
      <c r="D851" s="543">
        <v>2.87</v>
      </c>
      <c r="E851" s="544">
        <v>2.81</v>
      </c>
      <c r="F851" s="512"/>
      <c r="G851" s="480"/>
      <c r="H851" s="481">
        <v>2.6571955716212092</v>
      </c>
      <c r="I851" s="482">
        <v>1150</v>
      </c>
      <c r="J851" s="483"/>
      <c r="K851" s="480"/>
      <c r="L851" s="481"/>
      <c r="M851" s="482"/>
      <c r="N851" s="483"/>
      <c r="O851" s="513"/>
      <c r="P851" s="514">
        <v>1789</v>
      </c>
      <c r="Q851" s="486">
        <v>8.8099999999999998E-2</v>
      </c>
      <c r="R851" s="485">
        <v>9.01</v>
      </c>
      <c r="S851" s="515">
        <v>19</v>
      </c>
      <c r="T851" s="516">
        <v>63.7</v>
      </c>
      <c r="U851" s="490">
        <v>8</v>
      </c>
      <c r="V851" s="373"/>
      <c r="W851" s="391" t="s">
        <v>511</v>
      </c>
    </row>
    <row r="852" spans="1:23">
      <c r="A852" s="476" t="s">
        <v>1323</v>
      </c>
      <c r="B852" s="542">
        <v>10.4</v>
      </c>
      <c r="C852" s="543">
        <v>10.3</v>
      </c>
      <c r="D852" s="543">
        <v>2.87</v>
      </c>
      <c r="E852" s="544">
        <v>2.81</v>
      </c>
      <c r="F852" s="512"/>
      <c r="G852" s="480"/>
      <c r="H852" s="481"/>
      <c r="I852" s="482"/>
      <c r="J852" s="483">
        <v>2.4794664818526857</v>
      </c>
      <c r="K852" s="480">
        <v>2850</v>
      </c>
      <c r="L852" s="481"/>
      <c r="M852" s="482"/>
      <c r="N852" s="483"/>
      <c r="O852" s="513"/>
      <c r="P852" s="514">
        <v>3757</v>
      </c>
      <c r="Q852" s="486">
        <v>8.8099999999999998E-2</v>
      </c>
      <c r="R852" s="485">
        <v>9.01</v>
      </c>
      <c r="S852" s="515">
        <v>19</v>
      </c>
      <c r="T852" s="516">
        <v>63.7</v>
      </c>
      <c r="U852" s="490">
        <v>8</v>
      </c>
      <c r="V852" s="373"/>
      <c r="W852" s="391" t="s">
        <v>511</v>
      </c>
    </row>
    <row r="853" spans="1:23">
      <c r="A853" s="476" t="s">
        <v>1324</v>
      </c>
      <c r="B853" s="542">
        <v>10.4</v>
      </c>
      <c r="C853" s="543">
        <v>10.3</v>
      </c>
      <c r="D853" s="543">
        <v>2.87</v>
      </c>
      <c r="E853" s="544">
        <v>2.81</v>
      </c>
      <c r="F853" s="512"/>
      <c r="G853" s="480"/>
      <c r="H853" s="481"/>
      <c r="I853" s="482"/>
      <c r="J853" s="483"/>
      <c r="K853" s="480"/>
      <c r="L853" s="481">
        <v>1.961016263096568</v>
      </c>
      <c r="M853" s="482">
        <v>5600</v>
      </c>
      <c r="N853" s="483"/>
      <c r="O853" s="513"/>
      <c r="P853" s="514">
        <v>6283</v>
      </c>
      <c r="Q853" s="486">
        <v>8.8099999999999998E-2</v>
      </c>
      <c r="R853" s="485">
        <v>9.01</v>
      </c>
      <c r="S853" s="515">
        <v>19</v>
      </c>
      <c r="T853" s="516">
        <v>63.7</v>
      </c>
      <c r="U853" s="490">
        <v>8</v>
      </c>
      <c r="V853" s="373"/>
      <c r="W853" s="391" t="s">
        <v>511</v>
      </c>
    </row>
    <row r="854" spans="1:23">
      <c r="A854" s="476" t="s">
        <v>1325</v>
      </c>
      <c r="B854" s="542">
        <v>10.4</v>
      </c>
      <c r="C854" s="543">
        <v>10.3</v>
      </c>
      <c r="D854" s="543">
        <v>2.87</v>
      </c>
      <c r="E854" s="544">
        <v>2.81</v>
      </c>
      <c r="F854" s="512"/>
      <c r="G854" s="480"/>
      <c r="H854" s="481"/>
      <c r="I854" s="482"/>
      <c r="J854" s="483"/>
      <c r="K854" s="480"/>
      <c r="L854" s="481"/>
      <c r="M854" s="482"/>
      <c r="N854" s="483">
        <v>1.7923295129733443</v>
      </c>
      <c r="O854" s="513">
        <v>6500</v>
      </c>
      <c r="P854" s="514">
        <v>7549</v>
      </c>
      <c r="Q854" s="486">
        <v>8.8099999999999998E-2</v>
      </c>
      <c r="R854" s="485">
        <v>9.01</v>
      </c>
      <c r="S854" s="515">
        <v>19</v>
      </c>
      <c r="T854" s="516">
        <v>63.7</v>
      </c>
      <c r="U854" s="490">
        <v>8</v>
      </c>
      <c r="V854" s="373"/>
      <c r="W854" s="391" t="s">
        <v>511</v>
      </c>
    </row>
    <row r="855" spans="1:23">
      <c r="A855" s="476" t="s">
        <v>1326</v>
      </c>
      <c r="B855" s="542">
        <v>10.4</v>
      </c>
      <c r="C855" s="543">
        <v>22.5</v>
      </c>
      <c r="D855" s="543">
        <v>2.92</v>
      </c>
      <c r="E855" s="544">
        <v>6.04</v>
      </c>
      <c r="F855" s="512"/>
      <c r="G855" s="480"/>
      <c r="H855" s="481">
        <v>2.4828171122335672</v>
      </c>
      <c r="I855" s="482">
        <v>3000</v>
      </c>
      <c r="J855" s="483"/>
      <c r="K855" s="480"/>
      <c r="L855" s="481"/>
      <c r="M855" s="482"/>
      <c r="N855" s="483"/>
      <c r="O855" s="513"/>
      <c r="P855" s="514">
        <v>3806</v>
      </c>
      <c r="Q855" s="486">
        <v>8.8099999999999998E-2</v>
      </c>
      <c r="R855" s="485">
        <v>1.96</v>
      </c>
      <c r="S855" s="515">
        <v>4.0999999999999996</v>
      </c>
      <c r="T855" s="516">
        <v>30</v>
      </c>
      <c r="U855" s="490">
        <v>8</v>
      </c>
      <c r="V855" s="373"/>
      <c r="W855" s="391" t="s">
        <v>511</v>
      </c>
    </row>
    <row r="856" spans="1:23">
      <c r="A856" s="476" t="s">
        <v>1327</v>
      </c>
      <c r="B856" s="542">
        <v>10.4</v>
      </c>
      <c r="C856" s="543">
        <v>22.5</v>
      </c>
      <c r="D856" s="543">
        <v>2.92</v>
      </c>
      <c r="E856" s="544">
        <v>6.04</v>
      </c>
      <c r="F856" s="512"/>
      <c r="G856" s="480"/>
      <c r="H856" s="481"/>
      <c r="I856" s="482"/>
      <c r="J856" s="483">
        <v>1.7796416363911933</v>
      </c>
      <c r="K856" s="480">
        <v>6600</v>
      </c>
      <c r="L856" s="481"/>
      <c r="M856" s="482"/>
      <c r="N856" s="483"/>
      <c r="O856" s="513"/>
      <c r="P856" s="514">
        <v>7980</v>
      </c>
      <c r="Q856" s="486">
        <v>8.8099999999999998E-2</v>
      </c>
      <c r="R856" s="485">
        <v>1.96</v>
      </c>
      <c r="S856" s="515">
        <v>4.0999999999999996</v>
      </c>
      <c r="T856" s="516">
        <v>30</v>
      </c>
      <c r="U856" s="490">
        <v>8</v>
      </c>
      <c r="V856" s="373"/>
      <c r="W856" s="391" t="s">
        <v>511</v>
      </c>
    </row>
    <row r="857" spans="1:23">
      <c r="A857" s="476" t="s">
        <v>1328</v>
      </c>
      <c r="B857" s="542">
        <v>5.95</v>
      </c>
      <c r="C857" s="543">
        <v>5.45</v>
      </c>
      <c r="D857" s="543">
        <v>2.08</v>
      </c>
      <c r="E857" s="544">
        <v>1.65</v>
      </c>
      <c r="F857" s="512"/>
      <c r="G857" s="480"/>
      <c r="H857" s="481">
        <v>1.909859317102744</v>
      </c>
      <c r="I857" s="482">
        <v>750</v>
      </c>
      <c r="J857" s="483"/>
      <c r="K857" s="480"/>
      <c r="L857" s="481"/>
      <c r="M857" s="482"/>
      <c r="N857" s="483"/>
      <c r="O857" s="513"/>
      <c r="P857" s="514">
        <v>1460</v>
      </c>
      <c r="Q857" s="486">
        <v>8.6199999999999999E-2</v>
      </c>
      <c r="R857" s="485">
        <v>21.3</v>
      </c>
      <c r="S857" s="515">
        <v>66</v>
      </c>
      <c r="T857" s="516">
        <v>77.900000000000006</v>
      </c>
      <c r="U857" s="490">
        <v>10</v>
      </c>
      <c r="V857" s="373"/>
      <c r="W857" s="391" t="s">
        <v>511</v>
      </c>
    </row>
    <row r="858" spans="1:23">
      <c r="A858" s="476" t="s">
        <v>1329</v>
      </c>
      <c r="B858" s="542">
        <v>5.95</v>
      </c>
      <c r="C858" s="543">
        <v>5.45</v>
      </c>
      <c r="D858" s="543">
        <v>2.08</v>
      </c>
      <c r="E858" s="544">
        <v>1.65</v>
      </c>
      <c r="F858" s="512"/>
      <c r="G858" s="480"/>
      <c r="H858" s="481"/>
      <c r="I858" s="482"/>
      <c r="J858" s="483">
        <v>1.8853739412424524</v>
      </c>
      <c r="K858" s="480">
        <v>1950</v>
      </c>
      <c r="L858" s="481"/>
      <c r="M858" s="482"/>
      <c r="N858" s="483"/>
      <c r="O858" s="513"/>
      <c r="P858" s="514">
        <v>3068</v>
      </c>
      <c r="Q858" s="486">
        <v>8.6199999999999999E-2</v>
      </c>
      <c r="R858" s="485">
        <v>21.3</v>
      </c>
      <c r="S858" s="515">
        <v>66</v>
      </c>
      <c r="T858" s="516">
        <v>77.900000000000006</v>
      </c>
      <c r="U858" s="490">
        <v>10</v>
      </c>
      <c r="V858" s="373"/>
      <c r="W858" s="391" t="s">
        <v>511</v>
      </c>
    </row>
    <row r="859" spans="1:23">
      <c r="A859" s="476" t="s">
        <v>1330</v>
      </c>
      <c r="B859" s="542">
        <v>5.95</v>
      </c>
      <c r="C859" s="543">
        <v>5.45</v>
      </c>
      <c r="D859" s="543">
        <v>2.08</v>
      </c>
      <c r="E859" s="544">
        <v>1.65</v>
      </c>
      <c r="F859" s="512"/>
      <c r="G859" s="480"/>
      <c r="H859" s="481"/>
      <c r="I859" s="482"/>
      <c r="J859" s="483"/>
      <c r="K859" s="480"/>
      <c r="L859" s="481">
        <v>1.7590809499630535</v>
      </c>
      <c r="M859" s="482">
        <v>3800</v>
      </c>
      <c r="N859" s="483"/>
      <c r="O859" s="513"/>
      <c r="P859" s="514">
        <v>5132</v>
      </c>
      <c r="Q859" s="486">
        <v>8.6199999999999999E-2</v>
      </c>
      <c r="R859" s="485">
        <v>21.3</v>
      </c>
      <c r="S859" s="515">
        <v>66</v>
      </c>
      <c r="T859" s="516">
        <v>77.900000000000006</v>
      </c>
      <c r="U859" s="490">
        <v>10</v>
      </c>
      <c r="V859" s="373"/>
      <c r="W859" s="391" t="s">
        <v>511</v>
      </c>
    </row>
    <row r="860" spans="1:23">
      <c r="A860" s="476" t="s">
        <v>1331</v>
      </c>
      <c r="B860" s="542">
        <v>5.95</v>
      </c>
      <c r="C860" s="543">
        <v>5.45</v>
      </c>
      <c r="D860" s="543">
        <v>2.08</v>
      </c>
      <c r="E860" s="544">
        <v>1.65</v>
      </c>
      <c r="F860" s="512"/>
      <c r="G860" s="480"/>
      <c r="H860" s="481"/>
      <c r="I860" s="482"/>
      <c r="J860" s="483"/>
      <c r="K860" s="480"/>
      <c r="L860" s="481"/>
      <c r="M860" s="482"/>
      <c r="N860" s="483">
        <v>1.6634258568314222</v>
      </c>
      <c r="O860" s="513">
        <v>4650</v>
      </c>
      <c r="P860" s="514">
        <v>6166</v>
      </c>
      <c r="Q860" s="486">
        <v>8.6199999999999999E-2</v>
      </c>
      <c r="R860" s="485">
        <v>21.3</v>
      </c>
      <c r="S860" s="515">
        <v>66</v>
      </c>
      <c r="T860" s="516">
        <v>77.900000000000006</v>
      </c>
      <c r="U860" s="490">
        <v>10</v>
      </c>
      <c r="V860" s="373"/>
      <c r="W860" s="391" t="s">
        <v>511</v>
      </c>
    </row>
    <row r="861" spans="1:23">
      <c r="A861" s="476" t="s">
        <v>1332</v>
      </c>
      <c r="B861" s="542">
        <v>6.14</v>
      </c>
      <c r="C861" s="543">
        <v>10.9</v>
      </c>
      <c r="D861" s="543">
        <v>2.0699999999999998</v>
      </c>
      <c r="E861" s="544">
        <v>3.11</v>
      </c>
      <c r="F861" s="512"/>
      <c r="G861" s="480"/>
      <c r="H861" s="481">
        <v>1.8568076694054458</v>
      </c>
      <c r="I861" s="482">
        <v>1800</v>
      </c>
      <c r="J861" s="483"/>
      <c r="K861" s="480"/>
      <c r="L861" s="481"/>
      <c r="M861" s="482"/>
      <c r="N861" s="483"/>
      <c r="O861" s="513"/>
      <c r="P861" s="514">
        <v>2782</v>
      </c>
      <c r="Q861" s="486">
        <v>8.6199999999999999E-2</v>
      </c>
      <c r="R861" s="485">
        <v>6.02</v>
      </c>
      <c r="S861" s="515">
        <v>18</v>
      </c>
      <c r="T861" s="516">
        <v>41.2</v>
      </c>
      <c r="U861" s="490">
        <v>10</v>
      </c>
      <c r="V861" s="373"/>
      <c r="W861" s="391" t="s">
        <v>511</v>
      </c>
    </row>
    <row r="862" spans="1:23">
      <c r="A862" s="476" t="s">
        <v>1333</v>
      </c>
      <c r="B862" s="542">
        <v>6.14</v>
      </c>
      <c r="C862" s="543">
        <v>10.9</v>
      </c>
      <c r="D862" s="543">
        <v>2.0699999999999998</v>
      </c>
      <c r="E862" s="544">
        <v>3.11</v>
      </c>
      <c r="F862" s="512"/>
      <c r="G862" s="480"/>
      <c r="H862" s="481"/>
      <c r="I862" s="482"/>
      <c r="J862" s="483">
        <v>1.7052315331274501</v>
      </c>
      <c r="K862" s="480">
        <v>4200</v>
      </c>
      <c r="L862" s="481"/>
      <c r="M862" s="482"/>
      <c r="N862" s="483"/>
      <c r="O862" s="513"/>
      <c r="P862" s="514">
        <v>5838</v>
      </c>
      <c r="Q862" s="486">
        <v>8.6199999999999999E-2</v>
      </c>
      <c r="R862" s="485">
        <v>6.02</v>
      </c>
      <c r="S862" s="515">
        <v>18</v>
      </c>
      <c r="T862" s="516">
        <v>41.2</v>
      </c>
      <c r="U862" s="490">
        <v>10</v>
      </c>
      <c r="V862" s="373"/>
      <c r="W862" s="391" t="s">
        <v>511</v>
      </c>
    </row>
    <row r="863" spans="1:23">
      <c r="A863" s="476" t="s">
        <v>1334</v>
      </c>
      <c r="B863" s="542">
        <v>6.14</v>
      </c>
      <c r="C863" s="543">
        <v>10.9</v>
      </c>
      <c r="D863" s="543">
        <v>2.0699999999999998</v>
      </c>
      <c r="E863" s="544">
        <v>3.11</v>
      </c>
      <c r="F863" s="512"/>
      <c r="G863" s="480"/>
      <c r="H863" s="481"/>
      <c r="I863" s="482"/>
      <c r="J863" s="483"/>
      <c r="K863" s="480"/>
      <c r="L863" s="481">
        <v>1.0653261508694498</v>
      </c>
      <c r="M863" s="482">
        <v>8650</v>
      </c>
      <c r="N863" s="483"/>
      <c r="O863" s="513"/>
      <c r="P863" s="514">
        <v>9600</v>
      </c>
      <c r="Q863" s="486">
        <v>8.6199999999999999E-2</v>
      </c>
      <c r="R863" s="485">
        <v>6.02</v>
      </c>
      <c r="S863" s="515">
        <v>18</v>
      </c>
      <c r="T863" s="516">
        <v>41.2</v>
      </c>
      <c r="U863" s="490">
        <v>10</v>
      </c>
      <c r="V863" s="373"/>
      <c r="W863" s="391" t="s">
        <v>511</v>
      </c>
    </row>
    <row r="864" spans="1:23">
      <c r="A864" s="476" t="s">
        <v>1335</v>
      </c>
      <c r="B864" s="542">
        <v>6.14</v>
      </c>
      <c r="C864" s="543">
        <v>10.9</v>
      </c>
      <c r="D864" s="543">
        <v>2.0699999999999998</v>
      </c>
      <c r="E864" s="544">
        <v>3.11</v>
      </c>
      <c r="F864" s="512"/>
      <c r="G864" s="480"/>
      <c r="H864" s="481"/>
      <c r="I864" s="482"/>
      <c r="J864" s="483"/>
      <c r="K864" s="480"/>
      <c r="L864" s="481"/>
      <c r="M864" s="482"/>
      <c r="N864" s="483">
        <v>0.71619724391352901</v>
      </c>
      <c r="O864" s="513">
        <v>9600</v>
      </c>
      <c r="P864" s="514">
        <v>9600</v>
      </c>
      <c r="Q864" s="486">
        <v>8.6199999999999999E-2</v>
      </c>
      <c r="R864" s="485">
        <v>6.02</v>
      </c>
      <c r="S864" s="515">
        <v>18</v>
      </c>
      <c r="T864" s="516">
        <v>41.2</v>
      </c>
      <c r="U864" s="490">
        <v>10</v>
      </c>
      <c r="V864" s="373"/>
      <c r="W864" s="391" t="s">
        <v>511</v>
      </c>
    </row>
    <row r="865" spans="1:23">
      <c r="A865" s="476" t="s">
        <v>1336</v>
      </c>
      <c r="B865" s="542">
        <v>6.35</v>
      </c>
      <c r="C865" s="543">
        <v>21.8</v>
      </c>
      <c r="D865" s="543">
        <v>2.0699999999999998</v>
      </c>
      <c r="E865" s="544">
        <v>6.1</v>
      </c>
      <c r="F865" s="512"/>
      <c r="G865" s="480"/>
      <c r="H865" s="481">
        <v>1.7384616860807027</v>
      </c>
      <c r="I865" s="482">
        <v>3900</v>
      </c>
      <c r="J865" s="483"/>
      <c r="K865" s="480"/>
      <c r="L865" s="481"/>
      <c r="M865" s="482"/>
      <c r="N865" s="483"/>
      <c r="O865" s="513"/>
      <c r="P865" s="514">
        <v>5468</v>
      </c>
      <c r="Q865" s="486">
        <v>8.6199999999999999E-2</v>
      </c>
      <c r="R865" s="485">
        <v>1.56</v>
      </c>
      <c r="S865" s="515">
        <v>5</v>
      </c>
      <c r="T865" s="516">
        <v>21.5</v>
      </c>
      <c r="U865" s="490">
        <v>10</v>
      </c>
      <c r="V865" s="373"/>
      <c r="W865" s="391" t="s">
        <v>511</v>
      </c>
    </row>
    <row r="866" spans="1:23">
      <c r="A866" s="476" t="s">
        <v>1337</v>
      </c>
      <c r="B866" s="542">
        <v>6.35</v>
      </c>
      <c r="C866" s="543">
        <v>21.8</v>
      </c>
      <c r="D866" s="543">
        <v>2.0699999999999998</v>
      </c>
      <c r="E866" s="544">
        <v>6.1</v>
      </c>
      <c r="F866" s="512"/>
      <c r="G866" s="480"/>
      <c r="H866" s="481"/>
      <c r="I866" s="482"/>
      <c r="J866" s="483">
        <v>0.90187801085407349</v>
      </c>
      <c r="K866" s="480">
        <v>9000</v>
      </c>
      <c r="L866" s="481"/>
      <c r="M866" s="482"/>
      <c r="N866" s="483"/>
      <c r="O866" s="513"/>
      <c r="P866" s="514">
        <v>9600</v>
      </c>
      <c r="Q866" s="486">
        <v>8.6199999999999999E-2</v>
      </c>
      <c r="R866" s="485">
        <v>1.56</v>
      </c>
      <c r="S866" s="515">
        <v>5</v>
      </c>
      <c r="T866" s="516">
        <v>21.5</v>
      </c>
      <c r="U866" s="490">
        <v>10</v>
      </c>
      <c r="V866" s="373"/>
      <c r="W866" s="391" t="s">
        <v>511</v>
      </c>
    </row>
    <row r="867" spans="1:23">
      <c r="A867" s="476" t="s">
        <v>1338</v>
      </c>
      <c r="B867" s="542">
        <v>12.2</v>
      </c>
      <c r="C867" s="543">
        <v>6.08</v>
      </c>
      <c r="D867" s="543">
        <v>3.58</v>
      </c>
      <c r="E867" s="544">
        <v>1.59</v>
      </c>
      <c r="F867" s="512"/>
      <c r="G867" s="480"/>
      <c r="H867" s="481">
        <v>3.3104228163114229</v>
      </c>
      <c r="I867" s="482">
        <v>375</v>
      </c>
      <c r="J867" s="483"/>
      <c r="K867" s="480"/>
      <c r="L867" s="481"/>
      <c r="M867" s="482"/>
      <c r="N867" s="483"/>
      <c r="O867" s="513"/>
      <c r="P867" s="514">
        <v>812</v>
      </c>
      <c r="Q867" s="486">
        <v>0.128</v>
      </c>
      <c r="R867" s="485">
        <v>27.5</v>
      </c>
      <c r="S867" s="515">
        <v>97</v>
      </c>
      <c r="T867" s="516">
        <v>140</v>
      </c>
      <c r="U867" s="490">
        <v>10</v>
      </c>
      <c r="V867" s="373"/>
      <c r="W867" s="391" t="s">
        <v>511</v>
      </c>
    </row>
    <row r="868" spans="1:23">
      <c r="A868" s="476" t="s">
        <v>1339</v>
      </c>
      <c r="B868" s="542">
        <v>12.2</v>
      </c>
      <c r="C868" s="543">
        <v>6.08</v>
      </c>
      <c r="D868" s="543">
        <v>3.58</v>
      </c>
      <c r="E868" s="544">
        <v>1.59</v>
      </c>
      <c r="F868" s="512"/>
      <c r="G868" s="480"/>
      <c r="H868" s="481"/>
      <c r="I868" s="482"/>
      <c r="J868" s="483">
        <v>3.2293984816464585</v>
      </c>
      <c r="K868" s="480">
        <v>1100</v>
      </c>
      <c r="L868" s="481"/>
      <c r="M868" s="482"/>
      <c r="N868" s="483"/>
      <c r="O868" s="513"/>
      <c r="P868" s="514">
        <v>1710</v>
      </c>
      <c r="Q868" s="486">
        <v>0.128</v>
      </c>
      <c r="R868" s="485">
        <v>27.5</v>
      </c>
      <c r="S868" s="515">
        <v>97</v>
      </c>
      <c r="T868" s="516">
        <v>140</v>
      </c>
      <c r="U868" s="490">
        <v>10</v>
      </c>
      <c r="V868" s="373"/>
      <c r="W868" s="391" t="s">
        <v>511</v>
      </c>
    </row>
    <row r="869" spans="1:23">
      <c r="A869" s="476" t="s">
        <v>1340</v>
      </c>
      <c r="B869" s="542">
        <v>12.2</v>
      </c>
      <c r="C869" s="543">
        <v>6.08</v>
      </c>
      <c r="D869" s="543">
        <v>3.58</v>
      </c>
      <c r="E869" s="544">
        <v>1.59</v>
      </c>
      <c r="F869" s="512"/>
      <c r="G869" s="480"/>
      <c r="H869" s="481"/>
      <c r="I869" s="482"/>
      <c r="J869" s="483"/>
      <c r="K869" s="480"/>
      <c r="L869" s="481">
        <v>3.1376260209545084</v>
      </c>
      <c r="M869" s="482">
        <v>2100</v>
      </c>
      <c r="N869" s="483"/>
      <c r="O869" s="513"/>
      <c r="P869" s="514">
        <v>2861</v>
      </c>
      <c r="Q869" s="486">
        <v>0.128</v>
      </c>
      <c r="R869" s="485">
        <v>27.5</v>
      </c>
      <c r="S869" s="515">
        <v>97</v>
      </c>
      <c r="T869" s="516">
        <v>140</v>
      </c>
      <c r="U869" s="490">
        <v>10</v>
      </c>
      <c r="V869" s="373"/>
      <c r="W869" s="391" t="s">
        <v>511</v>
      </c>
    </row>
    <row r="870" spans="1:23">
      <c r="A870" s="476" t="s">
        <v>1341</v>
      </c>
      <c r="B870" s="542">
        <v>12.2</v>
      </c>
      <c r="C870" s="543">
        <v>6.08</v>
      </c>
      <c r="D870" s="543">
        <v>3.58</v>
      </c>
      <c r="E870" s="544">
        <v>1.59</v>
      </c>
      <c r="F870" s="512"/>
      <c r="G870" s="480"/>
      <c r="H870" s="481"/>
      <c r="I870" s="482"/>
      <c r="J870" s="483"/>
      <c r="K870" s="480"/>
      <c r="L870" s="481"/>
      <c r="M870" s="482"/>
      <c r="N870" s="483">
        <v>3.0667933265015219</v>
      </c>
      <c r="O870" s="513">
        <v>2600</v>
      </c>
      <c r="P870" s="514">
        <v>3438</v>
      </c>
      <c r="Q870" s="486">
        <v>0.128</v>
      </c>
      <c r="R870" s="485">
        <v>27.5</v>
      </c>
      <c r="S870" s="515">
        <v>97</v>
      </c>
      <c r="T870" s="516">
        <v>140</v>
      </c>
      <c r="U870" s="490">
        <v>10</v>
      </c>
      <c r="V870" s="373"/>
      <c r="W870" s="391" t="s">
        <v>511</v>
      </c>
    </row>
    <row r="871" spans="1:23">
      <c r="A871" s="476" t="s">
        <v>1342</v>
      </c>
      <c r="B871" s="542">
        <v>12.3</v>
      </c>
      <c r="C871" s="543">
        <v>12.2</v>
      </c>
      <c r="D871" s="543">
        <v>3.52</v>
      </c>
      <c r="E871" s="544">
        <v>2.99</v>
      </c>
      <c r="F871" s="512"/>
      <c r="G871" s="480"/>
      <c r="H871" s="481">
        <v>3.246760839074665</v>
      </c>
      <c r="I871" s="482">
        <v>1000</v>
      </c>
      <c r="J871" s="483"/>
      <c r="K871" s="480"/>
      <c r="L871" s="481"/>
      <c r="M871" s="482"/>
      <c r="N871" s="483"/>
      <c r="O871" s="513"/>
      <c r="P871" s="514">
        <v>1565</v>
      </c>
      <c r="Q871" s="486">
        <v>0.128</v>
      </c>
      <c r="R871" s="485">
        <v>7.78</v>
      </c>
      <c r="S871" s="515">
        <v>27</v>
      </c>
      <c r="T871" s="516">
        <v>72.8</v>
      </c>
      <c r="U871" s="490">
        <v>10</v>
      </c>
      <c r="V871" s="373"/>
      <c r="W871" s="391" t="s">
        <v>511</v>
      </c>
    </row>
    <row r="872" spans="1:23">
      <c r="A872" s="476" t="s">
        <v>1343</v>
      </c>
      <c r="B872" s="542">
        <v>12.3</v>
      </c>
      <c r="C872" s="543">
        <v>12.2</v>
      </c>
      <c r="D872" s="543">
        <v>3.52</v>
      </c>
      <c r="E872" s="544">
        <v>2.99</v>
      </c>
      <c r="F872" s="512"/>
      <c r="G872" s="480"/>
      <c r="H872" s="481"/>
      <c r="I872" s="482"/>
      <c r="J872" s="483">
        <v>3.0516230392837325</v>
      </c>
      <c r="K872" s="480">
        <v>2300</v>
      </c>
      <c r="L872" s="481"/>
      <c r="M872" s="482"/>
      <c r="N872" s="483"/>
      <c r="O872" s="513"/>
      <c r="P872" s="514">
        <v>3285</v>
      </c>
      <c r="Q872" s="486">
        <v>0.128</v>
      </c>
      <c r="R872" s="485">
        <v>7.78</v>
      </c>
      <c r="S872" s="515">
        <v>27</v>
      </c>
      <c r="T872" s="516">
        <v>72.8</v>
      </c>
      <c r="U872" s="490">
        <v>10</v>
      </c>
      <c r="V872" s="373"/>
      <c r="W872" s="391" t="s">
        <v>511</v>
      </c>
    </row>
    <row r="873" spans="1:23">
      <c r="A873" s="476" t="s">
        <v>1344</v>
      </c>
      <c r="B873" s="542">
        <v>12.3</v>
      </c>
      <c r="C873" s="543">
        <v>12.2</v>
      </c>
      <c r="D873" s="543">
        <v>3.52</v>
      </c>
      <c r="E873" s="544">
        <v>2.99</v>
      </c>
      <c r="F873" s="512"/>
      <c r="G873" s="480"/>
      <c r="H873" s="481"/>
      <c r="I873" s="482"/>
      <c r="J873" s="483"/>
      <c r="K873" s="480"/>
      <c r="L873" s="481">
        <v>2.6043536142310146</v>
      </c>
      <c r="M873" s="482">
        <v>4400</v>
      </c>
      <c r="N873" s="483"/>
      <c r="O873" s="513"/>
      <c r="P873" s="514">
        <v>5495</v>
      </c>
      <c r="Q873" s="486">
        <v>0.128</v>
      </c>
      <c r="R873" s="485">
        <v>7.78</v>
      </c>
      <c r="S873" s="515">
        <v>27</v>
      </c>
      <c r="T873" s="516">
        <v>72.8</v>
      </c>
      <c r="U873" s="490">
        <v>10</v>
      </c>
      <c r="V873" s="373"/>
      <c r="W873" s="391" t="s">
        <v>511</v>
      </c>
    </row>
    <row r="874" spans="1:23">
      <c r="A874" s="476" t="s">
        <v>1345</v>
      </c>
      <c r="B874" s="542">
        <v>12.3</v>
      </c>
      <c r="C874" s="543">
        <v>12.2</v>
      </c>
      <c r="D874" s="543">
        <v>3.52</v>
      </c>
      <c r="E874" s="544">
        <v>2.99</v>
      </c>
      <c r="F874" s="512"/>
      <c r="G874" s="480"/>
      <c r="H874" s="481"/>
      <c r="I874" s="482"/>
      <c r="J874" s="483"/>
      <c r="K874" s="480"/>
      <c r="L874" s="481"/>
      <c r="M874" s="482"/>
      <c r="N874" s="483">
        <v>2.2252489291013626</v>
      </c>
      <c r="O874" s="513">
        <v>5450</v>
      </c>
      <c r="P874" s="514">
        <v>6602</v>
      </c>
      <c r="Q874" s="486">
        <v>0.128</v>
      </c>
      <c r="R874" s="485">
        <v>7.78</v>
      </c>
      <c r="S874" s="515">
        <v>27</v>
      </c>
      <c r="T874" s="516">
        <v>72.8</v>
      </c>
      <c r="U874" s="490">
        <v>10</v>
      </c>
      <c r="V874" s="373"/>
      <c r="W874" s="391" t="s">
        <v>511</v>
      </c>
    </row>
    <row r="875" spans="1:23">
      <c r="A875" s="476" t="s">
        <v>1346</v>
      </c>
      <c r="B875" s="542">
        <v>12.7</v>
      </c>
      <c r="C875" s="543">
        <v>21.9</v>
      </c>
      <c r="D875" s="543">
        <v>3.64</v>
      </c>
      <c r="E875" s="544">
        <v>5.27</v>
      </c>
      <c r="F875" s="512"/>
      <c r="G875" s="480"/>
      <c r="H875" s="481">
        <v>3.2166051656467265</v>
      </c>
      <c r="I875" s="482">
        <v>1900</v>
      </c>
      <c r="J875" s="483"/>
      <c r="K875" s="480"/>
      <c r="L875" s="481"/>
      <c r="M875" s="482"/>
      <c r="N875" s="483"/>
      <c r="O875" s="513"/>
      <c r="P875" s="514">
        <v>2797</v>
      </c>
      <c r="Q875" s="486">
        <v>0.128</v>
      </c>
      <c r="R875" s="485">
        <v>2.5099999999999998</v>
      </c>
      <c r="S875" s="515">
        <v>9.1999999999999993</v>
      </c>
      <c r="T875" s="516">
        <v>43</v>
      </c>
      <c r="U875" s="490">
        <v>10</v>
      </c>
      <c r="V875" s="373"/>
      <c r="W875" s="391" t="s">
        <v>511</v>
      </c>
    </row>
    <row r="876" spans="1:23">
      <c r="A876" s="476" t="s">
        <v>1347</v>
      </c>
      <c r="B876" s="542">
        <v>12.7</v>
      </c>
      <c r="C876" s="543">
        <v>21.9</v>
      </c>
      <c r="D876" s="543">
        <v>3.64</v>
      </c>
      <c r="E876" s="544">
        <v>5.27</v>
      </c>
      <c r="F876" s="512"/>
      <c r="G876" s="480"/>
      <c r="H876" s="481"/>
      <c r="I876" s="482"/>
      <c r="J876" s="483">
        <v>2.6891697281044387</v>
      </c>
      <c r="K876" s="480">
        <v>4350</v>
      </c>
      <c r="L876" s="481"/>
      <c r="M876" s="482"/>
      <c r="N876" s="483"/>
      <c r="O876" s="513"/>
      <c r="P876" s="514">
        <v>5622</v>
      </c>
      <c r="Q876" s="486">
        <v>0.128</v>
      </c>
      <c r="R876" s="485">
        <v>2.5099999999999998</v>
      </c>
      <c r="S876" s="515">
        <v>9.1999999999999993</v>
      </c>
      <c r="T876" s="516">
        <v>43</v>
      </c>
      <c r="U876" s="490">
        <v>10</v>
      </c>
      <c r="V876" s="373"/>
      <c r="W876" s="391" t="s">
        <v>511</v>
      </c>
    </row>
    <row r="877" spans="1:23">
      <c r="A877" s="476" t="s">
        <v>1348</v>
      </c>
      <c r="B877" s="542">
        <v>12.7</v>
      </c>
      <c r="C877" s="543">
        <v>21.9</v>
      </c>
      <c r="D877" s="543">
        <v>3.64</v>
      </c>
      <c r="E877" s="544">
        <v>5.27</v>
      </c>
      <c r="F877" s="512"/>
      <c r="G877" s="480"/>
      <c r="H877" s="481"/>
      <c r="I877" s="482"/>
      <c r="J877" s="483"/>
      <c r="K877" s="480"/>
      <c r="L877" s="481">
        <v>0.99787623049680418</v>
      </c>
      <c r="M877" s="482">
        <v>7560</v>
      </c>
      <c r="N877" s="483"/>
      <c r="O877" s="513"/>
      <c r="P877" s="514">
        <v>9375</v>
      </c>
      <c r="Q877" s="486">
        <v>0.128</v>
      </c>
      <c r="R877" s="485">
        <v>2.5099999999999998</v>
      </c>
      <c r="S877" s="515">
        <v>9.1999999999999993</v>
      </c>
      <c r="T877" s="516">
        <v>43</v>
      </c>
      <c r="U877" s="490">
        <v>10</v>
      </c>
      <c r="V877" s="373"/>
      <c r="W877" s="391" t="s">
        <v>511</v>
      </c>
    </row>
    <row r="878" spans="1:23">
      <c r="A878" s="476" t="s">
        <v>1349</v>
      </c>
      <c r="B878" s="542">
        <v>12.8</v>
      </c>
      <c r="C878" s="543">
        <v>24.5</v>
      </c>
      <c r="D878" s="543">
        <v>3.58</v>
      </c>
      <c r="E878" s="544">
        <v>6.5</v>
      </c>
      <c r="F878" s="512"/>
      <c r="G878" s="480"/>
      <c r="H878" s="481">
        <v>3.083627022405472</v>
      </c>
      <c r="I878" s="482">
        <v>2400</v>
      </c>
      <c r="J878" s="483"/>
      <c r="K878" s="480"/>
      <c r="L878" s="481"/>
      <c r="M878" s="482"/>
      <c r="N878" s="483"/>
      <c r="O878" s="513"/>
      <c r="P878" s="514">
        <v>3365</v>
      </c>
      <c r="Q878" s="486">
        <v>0.128</v>
      </c>
      <c r="R878" s="485">
        <v>1.65</v>
      </c>
      <c r="S878" s="515">
        <v>3.1</v>
      </c>
      <c r="T878" s="516">
        <v>34.200000000000003</v>
      </c>
      <c r="U878" s="490">
        <v>10</v>
      </c>
      <c r="V878" s="373"/>
      <c r="W878" s="391" t="s">
        <v>511</v>
      </c>
    </row>
    <row r="879" spans="1:23">
      <c r="A879" s="476" t="s">
        <v>1350</v>
      </c>
      <c r="B879" s="542">
        <v>12.8</v>
      </c>
      <c r="C879" s="543">
        <v>24.5</v>
      </c>
      <c r="D879" s="543">
        <v>3.58</v>
      </c>
      <c r="E879" s="544">
        <v>6.5</v>
      </c>
      <c r="F879" s="512"/>
      <c r="G879" s="480"/>
      <c r="H879" s="481"/>
      <c r="I879" s="482"/>
      <c r="J879" s="483">
        <v>2.1997486777344109</v>
      </c>
      <c r="K879" s="480">
        <v>5600</v>
      </c>
      <c r="L879" s="481"/>
      <c r="M879" s="482"/>
      <c r="N879" s="483"/>
      <c r="O879" s="513"/>
      <c r="P879" s="514">
        <v>7054</v>
      </c>
      <c r="Q879" s="486">
        <v>0.128</v>
      </c>
      <c r="R879" s="485">
        <v>1.65</v>
      </c>
      <c r="S879" s="515">
        <v>3.1</v>
      </c>
      <c r="T879" s="516">
        <v>34.200000000000003</v>
      </c>
      <c r="U879" s="490">
        <v>10</v>
      </c>
      <c r="V879" s="373"/>
      <c r="W879" s="391" t="s">
        <v>511</v>
      </c>
    </row>
    <row r="880" spans="1:23">
      <c r="A880" s="476" t="s">
        <v>1351</v>
      </c>
      <c r="B880" s="542">
        <v>12.9</v>
      </c>
      <c r="C880" s="543">
        <v>39</v>
      </c>
      <c r="D880" s="543">
        <v>3.75</v>
      </c>
      <c r="E880" s="544">
        <v>9.33</v>
      </c>
      <c r="F880" s="512"/>
      <c r="G880" s="480"/>
      <c r="H880" s="481">
        <v>3.0012074983043124</v>
      </c>
      <c r="I880" s="482">
        <v>3500</v>
      </c>
      <c r="J880" s="483"/>
      <c r="K880" s="480"/>
      <c r="L880" s="481"/>
      <c r="M880" s="482"/>
      <c r="N880" s="483"/>
      <c r="O880" s="513"/>
      <c r="P880" s="514">
        <v>4633</v>
      </c>
      <c r="Q880" s="486">
        <v>0.128</v>
      </c>
      <c r="R880" s="485">
        <v>0.8</v>
      </c>
      <c r="S880" s="515">
        <v>3.1</v>
      </c>
      <c r="T880" s="516">
        <v>24.8</v>
      </c>
      <c r="U880" s="490">
        <v>10</v>
      </c>
      <c r="V880" s="373"/>
      <c r="W880" s="391" t="s">
        <v>511</v>
      </c>
    </row>
    <row r="881" spans="1:23">
      <c r="A881" s="476" t="s">
        <v>1352</v>
      </c>
      <c r="B881" s="542">
        <v>12.9</v>
      </c>
      <c r="C881" s="543">
        <v>39</v>
      </c>
      <c r="D881" s="543">
        <v>3.75</v>
      </c>
      <c r="E881" s="544">
        <v>9.33</v>
      </c>
      <c r="F881" s="512"/>
      <c r="G881" s="480"/>
      <c r="H881" s="481"/>
      <c r="I881" s="482"/>
      <c r="J881" s="483">
        <v>1.1013522061959158</v>
      </c>
      <c r="K881" s="480">
        <v>7500</v>
      </c>
      <c r="L881" s="481"/>
      <c r="M881" s="482"/>
      <c r="N881" s="483"/>
      <c r="O881" s="513"/>
      <c r="P881" s="514">
        <v>9600</v>
      </c>
      <c r="Q881" s="486">
        <v>0.128</v>
      </c>
      <c r="R881" s="485">
        <v>0.8</v>
      </c>
      <c r="S881" s="515">
        <v>3.1</v>
      </c>
      <c r="T881" s="516">
        <v>24.8</v>
      </c>
      <c r="U881" s="490">
        <v>10</v>
      </c>
      <c r="V881" s="373"/>
      <c r="W881" s="391" t="s">
        <v>511</v>
      </c>
    </row>
    <row r="882" spans="1:23">
      <c r="A882" s="476" t="s">
        <v>1353</v>
      </c>
      <c r="B882" s="542">
        <v>18.5</v>
      </c>
      <c r="C882" s="543">
        <v>13.8</v>
      </c>
      <c r="D882" s="543">
        <v>4.88</v>
      </c>
      <c r="E882" s="544">
        <v>3</v>
      </c>
      <c r="F882" s="512"/>
      <c r="G882" s="480"/>
      <c r="H882" s="481">
        <v>4.5018112474564687</v>
      </c>
      <c r="I882" s="482">
        <v>700</v>
      </c>
      <c r="J882" s="483"/>
      <c r="K882" s="480"/>
      <c r="L882" s="481"/>
      <c r="M882" s="482"/>
      <c r="N882" s="483"/>
      <c r="O882" s="513"/>
      <c r="P882" s="514">
        <v>1136</v>
      </c>
      <c r="Q882" s="486">
        <v>0.17499999999999999</v>
      </c>
      <c r="R882" s="485">
        <v>8.61</v>
      </c>
      <c r="S882" s="515">
        <v>33</v>
      </c>
      <c r="T882" s="516">
        <v>100</v>
      </c>
      <c r="U882" s="490">
        <v>10</v>
      </c>
      <c r="V882" s="373"/>
      <c r="W882" s="391" t="s">
        <v>511</v>
      </c>
    </row>
    <row r="883" spans="1:23">
      <c r="A883" s="476" t="s">
        <v>1354</v>
      </c>
      <c r="B883" s="542">
        <v>18.5</v>
      </c>
      <c r="C883" s="543">
        <v>13.8</v>
      </c>
      <c r="D883" s="543">
        <v>4.88</v>
      </c>
      <c r="E883" s="544">
        <v>3</v>
      </c>
      <c r="F883" s="512"/>
      <c r="G883" s="480"/>
      <c r="H883" s="481"/>
      <c r="I883" s="482"/>
      <c r="J883" s="483">
        <v>4.2971834634811747</v>
      </c>
      <c r="K883" s="480">
        <v>1700</v>
      </c>
      <c r="L883" s="481"/>
      <c r="M883" s="482"/>
      <c r="N883" s="483"/>
      <c r="O883" s="513"/>
      <c r="P883" s="514">
        <v>2389</v>
      </c>
      <c r="Q883" s="486">
        <v>0.17499999999999999</v>
      </c>
      <c r="R883" s="485">
        <v>8.61</v>
      </c>
      <c r="S883" s="515">
        <v>33</v>
      </c>
      <c r="T883" s="516">
        <v>100</v>
      </c>
      <c r="U883" s="490">
        <v>10</v>
      </c>
      <c r="V883" s="373"/>
      <c r="W883" s="391" t="s">
        <v>511</v>
      </c>
    </row>
    <row r="884" spans="1:23">
      <c r="A884" s="476" t="s">
        <v>1355</v>
      </c>
      <c r="B884" s="542">
        <v>18.5</v>
      </c>
      <c r="C884" s="543">
        <v>13.8</v>
      </c>
      <c r="D884" s="543">
        <v>4.88</v>
      </c>
      <c r="E884" s="544">
        <v>3</v>
      </c>
      <c r="F884" s="512"/>
      <c r="G884" s="480"/>
      <c r="H884" s="481"/>
      <c r="I884" s="482"/>
      <c r="J884" s="483"/>
      <c r="K884" s="480"/>
      <c r="L884" s="481">
        <v>3.5950293027816365</v>
      </c>
      <c r="M884" s="482">
        <v>3400</v>
      </c>
      <c r="N884" s="483"/>
      <c r="O884" s="513"/>
      <c r="P884" s="514">
        <v>3997</v>
      </c>
      <c r="Q884" s="486">
        <v>0.17499999999999999</v>
      </c>
      <c r="R884" s="485">
        <v>8.61</v>
      </c>
      <c r="S884" s="515">
        <v>33</v>
      </c>
      <c r="T884" s="516">
        <v>100</v>
      </c>
      <c r="U884" s="490">
        <v>10</v>
      </c>
      <c r="V884" s="373"/>
      <c r="W884" s="391" t="s">
        <v>511</v>
      </c>
    </row>
    <row r="885" spans="1:23">
      <c r="A885" s="476" t="s">
        <v>1356</v>
      </c>
      <c r="B885" s="542">
        <v>18.5</v>
      </c>
      <c r="C885" s="543">
        <v>13.8</v>
      </c>
      <c r="D885" s="543">
        <v>4.88</v>
      </c>
      <c r="E885" s="544">
        <v>3</v>
      </c>
      <c r="F885" s="512"/>
      <c r="G885" s="480"/>
      <c r="H885" s="481"/>
      <c r="I885" s="482"/>
      <c r="J885" s="483"/>
      <c r="K885" s="480"/>
      <c r="L885" s="481"/>
      <c r="M885" s="482"/>
      <c r="N885" s="483">
        <v>3.4812625526936092</v>
      </c>
      <c r="O885" s="513">
        <v>3950</v>
      </c>
      <c r="P885" s="514">
        <v>4803</v>
      </c>
      <c r="Q885" s="486">
        <v>0.17499999999999999</v>
      </c>
      <c r="R885" s="485">
        <v>8.61</v>
      </c>
      <c r="S885" s="515">
        <v>33</v>
      </c>
      <c r="T885" s="516">
        <v>100</v>
      </c>
      <c r="U885" s="490">
        <v>10</v>
      </c>
      <c r="V885" s="373"/>
      <c r="W885" s="391" t="s">
        <v>511</v>
      </c>
    </row>
    <row r="886" spans="1:23">
      <c r="A886" s="476" t="s">
        <v>1357</v>
      </c>
      <c r="B886" s="542">
        <v>18.8</v>
      </c>
      <c r="C886" s="543">
        <v>24.4</v>
      </c>
      <c r="D886" s="543">
        <v>4.8899999999999997</v>
      </c>
      <c r="E886" s="544">
        <v>5.32</v>
      </c>
      <c r="F886" s="512"/>
      <c r="G886" s="480"/>
      <c r="H886" s="481">
        <v>4.3653927248062727</v>
      </c>
      <c r="I886" s="482">
        <v>1400</v>
      </c>
      <c r="J886" s="483"/>
      <c r="K886" s="480"/>
      <c r="L886" s="481"/>
      <c r="M886" s="482"/>
      <c r="N886" s="483"/>
      <c r="O886" s="513"/>
      <c r="P886" s="514">
        <v>1998</v>
      </c>
      <c r="Q886" s="486">
        <v>0.17499999999999999</v>
      </c>
      <c r="R886" s="485">
        <v>2.81</v>
      </c>
      <c r="S886" s="515">
        <v>11</v>
      </c>
      <c r="T886" s="516">
        <v>57</v>
      </c>
      <c r="U886" s="490">
        <v>10</v>
      </c>
      <c r="V886" s="373"/>
      <c r="W886" s="391" t="s">
        <v>511</v>
      </c>
    </row>
    <row r="887" spans="1:23">
      <c r="A887" s="476" t="s">
        <v>1358</v>
      </c>
      <c r="B887" s="542">
        <v>18.8</v>
      </c>
      <c r="C887" s="543">
        <v>24.4</v>
      </c>
      <c r="D887" s="543">
        <v>4.8899999999999997</v>
      </c>
      <c r="E887" s="544">
        <v>5.32</v>
      </c>
      <c r="F887" s="512"/>
      <c r="G887" s="480"/>
      <c r="H887" s="481"/>
      <c r="I887" s="482"/>
      <c r="J887" s="483">
        <v>3.8500338614610872</v>
      </c>
      <c r="K887" s="480">
        <v>3150</v>
      </c>
      <c r="L887" s="481"/>
      <c r="M887" s="482"/>
      <c r="N887" s="483"/>
      <c r="O887" s="513"/>
      <c r="P887" s="514">
        <v>4194</v>
      </c>
      <c r="Q887" s="486">
        <v>0.17499999999999999</v>
      </c>
      <c r="R887" s="485">
        <v>2.81</v>
      </c>
      <c r="S887" s="515">
        <v>11</v>
      </c>
      <c r="T887" s="516">
        <v>57</v>
      </c>
      <c r="U887" s="490">
        <v>10</v>
      </c>
      <c r="V887" s="373"/>
      <c r="W887" s="391" t="s">
        <v>511</v>
      </c>
    </row>
    <row r="888" spans="1:23">
      <c r="A888" s="476" t="s">
        <v>1359</v>
      </c>
      <c r="B888" s="542">
        <v>18.8</v>
      </c>
      <c r="C888" s="543">
        <v>24.4</v>
      </c>
      <c r="D888" s="543">
        <v>4.8899999999999997</v>
      </c>
      <c r="E888" s="544">
        <v>5.32</v>
      </c>
      <c r="F888" s="512"/>
      <c r="G888" s="480"/>
      <c r="H888" s="481"/>
      <c r="I888" s="482"/>
      <c r="J888" s="483"/>
      <c r="K888" s="480"/>
      <c r="L888" s="481">
        <v>1.8011681364546206</v>
      </c>
      <c r="M888" s="482">
        <v>6150</v>
      </c>
      <c r="N888" s="483"/>
      <c r="O888" s="513"/>
      <c r="P888" s="514">
        <v>7006</v>
      </c>
      <c r="Q888" s="486">
        <v>0.17499999999999999</v>
      </c>
      <c r="R888" s="485">
        <v>2.81</v>
      </c>
      <c r="S888" s="515">
        <v>11</v>
      </c>
      <c r="T888" s="516">
        <v>57</v>
      </c>
      <c r="U888" s="490">
        <v>10</v>
      </c>
      <c r="V888" s="373"/>
      <c r="W888" s="391" t="s">
        <v>511</v>
      </c>
    </row>
    <row r="889" spans="1:23">
      <c r="A889" s="476" t="s">
        <v>1360</v>
      </c>
      <c r="B889" s="542">
        <v>18.8</v>
      </c>
      <c r="C889" s="543">
        <v>27.2</v>
      </c>
      <c r="D889" s="543">
        <v>5.05</v>
      </c>
      <c r="E889" s="544">
        <v>6.14</v>
      </c>
      <c r="F889" s="512"/>
      <c r="G889" s="480"/>
      <c r="H889" s="481">
        <v>4.4762327744595565</v>
      </c>
      <c r="I889" s="482">
        <v>1600</v>
      </c>
      <c r="J889" s="483"/>
      <c r="K889" s="480"/>
      <c r="L889" s="481"/>
      <c r="M889" s="482"/>
      <c r="N889" s="483"/>
      <c r="O889" s="513"/>
      <c r="P889" s="514">
        <v>2239</v>
      </c>
      <c r="Q889" s="486">
        <v>0.17499999999999999</v>
      </c>
      <c r="R889" s="485">
        <v>2.1</v>
      </c>
      <c r="S889" s="515">
        <v>8.8000000000000007</v>
      </c>
      <c r="T889" s="516">
        <v>51.34</v>
      </c>
      <c r="U889" s="490">
        <v>10</v>
      </c>
      <c r="V889" s="373"/>
      <c r="W889" s="391" t="s">
        <v>511</v>
      </c>
    </row>
    <row r="890" spans="1:23">
      <c r="A890" s="476" t="s">
        <v>1361</v>
      </c>
      <c r="B890" s="542">
        <v>18.8</v>
      </c>
      <c r="C890" s="543">
        <v>27.2</v>
      </c>
      <c r="D890" s="543">
        <v>5.05</v>
      </c>
      <c r="E890" s="544">
        <v>6.14</v>
      </c>
      <c r="F890" s="512"/>
      <c r="G890" s="480"/>
      <c r="H890" s="481"/>
      <c r="I890" s="482"/>
      <c r="J890" s="483">
        <v>3.8063629746453294</v>
      </c>
      <c r="K890" s="480">
        <v>3575</v>
      </c>
      <c r="L890" s="481"/>
      <c r="M890" s="482"/>
      <c r="N890" s="483"/>
      <c r="O890" s="513"/>
      <c r="P890" s="514">
        <v>4700</v>
      </c>
      <c r="Q890" s="486">
        <v>0.17499999999999999</v>
      </c>
      <c r="R890" s="485">
        <v>2.1</v>
      </c>
      <c r="S890" s="515">
        <v>8.8000000000000007</v>
      </c>
      <c r="T890" s="516">
        <v>51.34</v>
      </c>
      <c r="U890" s="490">
        <v>10</v>
      </c>
      <c r="V890" s="373"/>
      <c r="W890" s="391" t="s">
        <v>511</v>
      </c>
    </row>
    <row r="891" spans="1:23">
      <c r="A891" s="476" t="s">
        <v>1362</v>
      </c>
      <c r="B891" s="542">
        <v>18.8</v>
      </c>
      <c r="C891" s="543">
        <v>27.2</v>
      </c>
      <c r="D891" s="543">
        <v>5.05</v>
      </c>
      <c r="E891" s="544">
        <v>6.14</v>
      </c>
      <c r="F891" s="512"/>
      <c r="G891" s="480"/>
      <c r="H891" s="481"/>
      <c r="I891" s="482"/>
      <c r="J891" s="483"/>
      <c r="K891" s="480"/>
      <c r="L891" s="481">
        <v>1.429447174066097</v>
      </c>
      <c r="M891" s="482">
        <v>6480</v>
      </c>
      <c r="N891" s="483"/>
      <c r="O891" s="513"/>
      <c r="P891" s="514">
        <v>7200</v>
      </c>
      <c r="Q891" s="486">
        <v>0.17499999999999999</v>
      </c>
      <c r="R891" s="485">
        <v>2.1</v>
      </c>
      <c r="S891" s="515">
        <v>8.8000000000000007</v>
      </c>
      <c r="T891" s="516">
        <v>51.34</v>
      </c>
      <c r="U891" s="490">
        <v>10</v>
      </c>
      <c r="V891" s="373"/>
      <c r="W891" s="391" t="s">
        <v>511</v>
      </c>
    </row>
    <row r="892" spans="1:23">
      <c r="A892" s="476" t="s">
        <v>1363</v>
      </c>
      <c r="B892" s="542">
        <v>19</v>
      </c>
      <c r="C892" s="543">
        <v>48</v>
      </c>
      <c r="D892" s="543">
        <v>5</v>
      </c>
      <c r="E892" s="544">
        <v>10.38</v>
      </c>
      <c r="F892" s="512"/>
      <c r="G892" s="480"/>
      <c r="H892" s="481">
        <v>4.0139416156057672</v>
      </c>
      <c r="I892" s="482">
        <v>2950</v>
      </c>
      <c r="J892" s="483"/>
      <c r="K892" s="480"/>
      <c r="L892" s="481"/>
      <c r="M892" s="482"/>
      <c r="N892" s="483"/>
      <c r="O892" s="513"/>
      <c r="P892" s="514">
        <v>3838</v>
      </c>
      <c r="Q892" s="486">
        <v>0.17499999999999999</v>
      </c>
      <c r="R892" s="485">
        <v>0.74</v>
      </c>
      <c r="S892" s="515">
        <v>2.9</v>
      </c>
      <c r="T892" s="516">
        <v>30</v>
      </c>
      <c r="U892" s="490">
        <v>10</v>
      </c>
      <c r="V892" s="373"/>
      <c r="W892" s="391" t="s">
        <v>511</v>
      </c>
    </row>
    <row r="893" spans="1:23">
      <c r="A893" s="476" t="s">
        <v>1364</v>
      </c>
      <c r="B893" s="542">
        <v>19</v>
      </c>
      <c r="C893" s="543">
        <v>48</v>
      </c>
      <c r="D893" s="543">
        <v>5</v>
      </c>
      <c r="E893" s="544">
        <v>10.38</v>
      </c>
      <c r="F893" s="512"/>
      <c r="G893" s="480"/>
      <c r="H893" s="481"/>
      <c r="I893" s="482"/>
      <c r="J893" s="483">
        <v>1.4103576495527956</v>
      </c>
      <c r="K893" s="480">
        <v>6500</v>
      </c>
      <c r="L893" s="481"/>
      <c r="M893" s="482"/>
      <c r="N893" s="483"/>
      <c r="O893" s="513"/>
      <c r="P893" s="514">
        <v>8030</v>
      </c>
      <c r="Q893" s="486">
        <v>0.17499999999999999</v>
      </c>
      <c r="R893" s="485">
        <v>0.74</v>
      </c>
      <c r="S893" s="515">
        <v>2.9</v>
      </c>
      <c r="T893" s="516">
        <v>30</v>
      </c>
      <c r="U893" s="490">
        <v>10</v>
      </c>
      <c r="V893" s="373"/>
      <c r="W893" s="391" t="s">
        <v>511</v>
      </c>
    </row>
    <row r="894" spans="1:23">
      <c r="A894" s="476" t="s">
        <v>1365</v>
      </c>
      <c r="B894" s="542">
        <v>23.7</v>
      </c>
      <c r="C894" s="543">
        <v>14.5</v>
      </c>
      <c r="D894" s="543">
        <v>5.98</v>
      </c>
      <c r="E894" s="544">
        <v>3.15</v>
      </c>
      <c r="F894" s="512"/>
      <c r="G894" s="480"/>
      <c r="H894" s="481">
        <v>5.4908455366703892</v>
      </c>
      <c r="I894" s="482">
        <v>600</v>
      </c>
      <c r="J894" s="483"/>
      <c r="K894" s="480"/>
      <c r="L894" s="481"/>
      <c r="M894" s="482"/>
      <c r="N894" s="483"/>
      <c r="O894" s="513"/>
      <c r="P894" s="514">
        <v>960</v>
      </c>
      <c r="Q894" s="486">
        <v>0.24000000000000002</v>
      </c>
      <c r="R894" s="485">
        <v>8.64</v>
      </c>
      <c r="S894" s="515">
        <v>34</v>
      </c>
      <c r="T894" s="516">
        <v>118</v>
      </c>
      <c r="U894" s="490">
        <v>10</v>
      </c>
      <c r="V894" s="373"/>
      <c r="W894" s="391" t="s">
        <v>511</v>
      </c>
    </row>
    <row r="895" spans="1:23">
      <c r="A895" s="476" t="s">
        <v>1366</v>
      </c>
      <c r="B895" s="542">
        <v>23.7</v>
      </c>
      <c r="C895" s="543">
        <v>14.5</v>
      </c>
      <c r="D895" s="543">
        <v>5.98</v>
      </c>
      <c r="E895" s="544">
        <v>3.15</v>
      </c>
      <c r="F895" s="512"/>
      <c r="G895" s="480"/>
      <c r="H895" s="481"/>
      <c r="I895" s="482"/>
      <c r="J895" s="483">
        <v>5.2862177526950962</v>
      </c>
      <c r="K895" s="480">
        <v>1400</v>
      </c>
      <c r="L895" s="481"/>
      <c r="M895" s="482"/>
      <c r="N895" s="483"/>
      <c r="O895" s="513"/>
      <c r="P895" s="514">
        <v>2018</v>
      </c>
      <c r="Q895" s="486">
        <v>0.24000000000000002</v>
      </c>
      <c r="R895" s="485">
        <v>8.64</v>
      </c>
      <c r="S895" s="515">
        <v>34</v>
      </c>
      <c r="T895" s="516">
        <v>118</v>
      </c>
      <c r="U895" s="490">
        <v>10</v>
      </c>
      <c r="V895" s="373"/>
      <c r="W895" s="391" t="s">
        <v>511</v>
      </c>
    </row>
    <row r="896" spans="1:23">
      <c r="A896" s="476" t="s">
        <v>1367</v>
      </c>
      <c r="B896" s="542">
        <v>23.7</v>
      </c>
      <c r="C896" s="543">
        <v>14.5</v>
      </c>
      <c r="D896" s="543">
        <v>5.98</v>
      </c>
      <c r="E896" s="544">
        <v>3.15</v>
      </c>
      <c r="F896" s="512"/>
      <c r="G896" s="480"/>
      <c r="H896" s="481"/>
      <c r="I896" s="482"/>
      <c r="J896" s="483"/>
      <c r="K896" s="480"/>
      <c r="L896" s="481">
        <v>4.703912762493796</v>
      </c>
      <c r="M896" s="482">
        <v>2700</v>
      </c>
      <c r="N896" s="483"/>
      <c r="O896" s="513"/>
      <c r="P896" s="514">
        <v>3377</v>
      </c>
      <c r="Q896" s="486">
        <v>0.24000000000000002</v>
      </c>
      <c r="R896" s="485">
        <v>8.64</v>
      </c>
      <c r="S896" s="515">
        <v>34</v>
      </c>
      <c r="T896" s="516">
        <v>118</v>
      </c>
      <c r="U896" s="490">
        <v>10</v>
      </c>
      <c r="V896" s="373"/>
      <c r="W896" s="391" t="s">
        <v>511</v>
      </c>
    </row>
    <row r="897" spans="1:23">
      <c r="A897" s="476" t="s">
        <v>1368</v>
      </c>
      <c r="B897" s="542">
        <v>23.7</v>
      </c>
      <c r="C897" s="543">
        <v>14.5</v>
      </c>
      <c r="D897" s="543">
        <v>5.98</v>
      </c>
      <c r="E897" s="544">
        <v>3.15</v>
      </c>
      <c r="F897" s="512"/>
      <c r="G897" s="480"/>
      <c r="H897" s="481"/>
      <c r="I897" s="482"/>
      <c r="J897" s="483"/>
      <c r="K897" s="480"/>
      <c r="L897" s="481"/>
      <c r="M897" s="482"/>
      <c r="N897" s="483">
        <v>4.332815167158464</v>
      </c>
      <c r="O897" s="513">
        <v>3350</v>
      </c>
      <c r="P897" s="514">
        <v>4058</v>
      </c>
      <c r="Q897" s="486">
        <v>0.24000000000000002</v>
      </c>
      <c r="R897" s="485">
        <v>8.64</v>
      </c>
      <c r="S897" s="515">
        <v>34</v>
      </c>
      <c r="T897" s="516">
        <v>118</v>
      </c>
      <c r="U897" s="490">
        <v>10</v>
      </c>
      <c r="V897" s="373"/>
      <c r="W897" s="391" t="s">
        <v>511</v>
      </c>
    </row>
    <row r="898" spans="1:23">
      <c r="A898" s="476" t="s">
        <v>1369</v>
      </c>
      <c r="B898" s="542">
        <v>23.7</v>
      </c>
      <c r="C898" s="543">
        <v>25</v>
      </c>
      <c r="D898" s="543">
        <v>6.12</v>
      </c>
      <c r="E898" s="544">
        <v>5.53</v>
      </c>
      <c r="F898" s="512"/>
      <c r="G898" s="480"/>
      <c r="H898" s="481">
        <v>5.4510568008974154</v>
      </c>
      <c r="I898" s="482">
        <v>1200</v>
      </c>
      <c r="J898" s="483"/>
      <c r="K898" s="480"/>
      <c r="L898" s="481"/>
      <c r="M898" s="482"/>
      <c r="N898" s="483"/>
      <c r="O898" s="513"/>
      <c r="P898" s="514">
        <v>1660</v>
      </c>
      <c r="Q898" s="486">
        <v>0.24000000000000002</v>
      </c>
      <c r="R898" s="485">
        <v>2.8</v>
      </c>
      <c r="S898" s="515">
        <v>12</v>
      </c>
      <c r="T898" s="516">
        <v>69.3</v>
      </c>
      <c r="U898" s="490">
        <v>10</v>
      </c>
      <c r="V898" s="373"/>
      <c r="W898" s="391" t="s">
        <v>511</v>
      </c>
    </row>
    <row r="899" spans="1:23">
      <c r="A899" s="476" t="s">
        <v>1370</v>
      </c>
      <c r="B899" s="542">
        <v>23.7</v>
      </c>
      <c r="C899" s="543">
        <v>25</v>
      </c>
      <c r="D899" s="543">
        <v>6.12</v>
      </c>
      <c r="E899" s="544">
        <v>5.53</v>
      </c>
      <c r="F899" s="512"/>
      <c r="G899" s="480"/>
      <c r="H899" s="481"/>
      <c r="I899" s="482"/>
      <c r="J899" s="483">
        <v>4.8647359963937822</v>
      </c>
      <c r="K899" s="480">
        <v>2650</v>
      </c>
      <c r="L899" s="481"/>
      <c r="M899" s="482"/>
      <c r="N899" s="483"/>
      <c r="O899" s="513"/>
      <c r="P899" s="514">
        <v>3485</v>
      </c>
      <c r="Q899" s="486">
        <v>0.24000000000000002</v>
      </c>
      <c r="R899" s="485">
        <v>2.8</v>
      </c>
      <c r="S899" s="515">
        <v>12</v>
      </c>
      <c r="T899" s="516">
        <v>69.3</v>
      </c>
      <c r="U899" s="490">
        <v>10</v>
      </c>
      <c r="V899" s="373"/>
      <c r="W899" s="391" t="s">
        <v>511</v>
      </c>
    </row>
    <row r="900" spans="1:23">
      <c r="A900" s="476" t="s">
        <v>1371</v>
      </c>
      <c r="B900" s="542">
        <v>23.7</v>
      </c>
      <c r="C900" s="543">
        <v>25</v>
      </c>
      <c r="D900" s="543">
        <v>6.12</v>
      </c>
      <c r="E900" s="544">
        <v>5.53</v>
      </c>
      <c r="F900" s="512"/>
      <c r="G900" s="480"/>
      <c r="H900" s="481"/>
      <c r="I900" s="482"/>
      <c r="J900" s="483"/>
      <c r="K900" s="480"/>
      <c r="L900" s="481">
        <v>2.902986161996171</v>
      </c>
      <c r="M900" s="482">
        <v>5000</v>
      </c>
      <c r="N900" s="483"/>
      <c r="O900" s="513"/>
      <c r="P900" s="514">
        <v>5822</v>
      </c>
      <c r="Q900" s="486">
        <v>0.24000000000000002</v>
      </c>
      <c r="R900" s="485">
        <v>2.8</v>
      </c>
      <c r="S900" s="515">
        <v>12</v>
      </c>
      <c r="T900" s="516">
        <v>69.3</v>
      </c>
      <c r="U900" s="490">
        <v>10</v>
      </c>
      <c r="V900" s="373"/>
      <c r="W900" s="391" t="s">
        <v>511</v>
      </c>
    </row>
    <row r="901" spans="1:23">
      <c r="A901" s="476" t="s">
        <v>1372</v>
      </c>
      <c r="B901" s="542">
        <v>23.7</v>
      </c>
      <c r="C901" s="543">
        <v>25</v>
      </c>
      <c r="D901" s="543">
        <v>6.12</v>
      </c>
      <c r="E901" s="544">
        <v>5.53</v>
      </c>
      <c r="F901" s="512"/>
      <c r="G901" s="480"/>
      <c r="H901" s="481"/>
      <c r="I901" s="482"/>
      <c r="J901" s="483"/>
      <c r="K901" s="480"/>
      <c r="L901" s="481"/>
      <c r="M901" s="482"/>
      <c r="N901" s="483">
        <v>1.8009638297240791</v>
      </c>
      <c r="O901" s="513">
        <v>5700</v>
      </c>
      <c r="P901" s="514">
        <v>6987</v>
      </c>
      <c r="Q901" s="486">
        <v>0.24000000000000002</v>
      </c>
      <c r="R901" s="485">
        <v>2.8</v>
      </c>
      <c r="S901" s="515">
        <v>12</v>
      </c>
      <c r="T901" s="516">
        <v>69.3</v>
      </c>
      <c r="U901" s="490">
        <v>10</v>
      </c>
      <c r="V901" s="373"/>
      <c r="W901" s="391" t="s">
        <v>511</v>
      </c>
    </row>
    <row r="902" spans="1:23">
      <c r="A902" s="476" t="s">
        <v>1373</v>
      </c>
      <c r="B902" s="542">
        <v>23.7</v>
      </c>
      <c r="C902" s="543">
        <v>28.1</v>
      </c>
      <c r="D902" s="543">
        <v>6.1</v>
      </c>
      <c r="E902" s="544">
        <v>6.2</v>
      </c>
      <c r="F902" s="512"/>
      <c r="G902" s="480"/>
      <c r="H902" s="481">
        <v>5.4052622182153129</v>
      </c>
      <c r="I902" s="482">
        <v>1325</v>
      </c>
      <c r="J902" s="483"/>
      <c r="K902" s="480"/>
      <c r="L902" s="481"/>
      <c r="M902" s="482"/>
      <c r="N902" s="483"/>
      <c r="O902" s="513"/>
      <c r="P902" s="514">
        <v>1868</v>
      </c>
      <c r="Q902" s="486">
        <v>0.24000000000000002</v>
      </c>
      <c r="R902" s="485">
        <v>2.23</v>
      </c>
      <c r="S902" s="515">
        <v>9.1</v>
      </c>
      <c r="T902" s="516">
        <v>61.4</v>
      </c>
      <c r="U902" s="490">
        <v>10</v>
      </c>
      <c r="V902" s="373"/>
      <c r="W902" s="391" t="s">
        <v>511</v>
      </c>
    </row>
    <row r="903" spans="1:23">
      <c r="A903" s="476" t="s">
        <v>1374</v>
      </c>
      <c r="B903" s="542">
        <v>23.7</v>
      </c>
      <c r="C903" s="543">
        <v>28.1</v>
      </c>
      <c r="D903" s="543">
        <v>6.1</v>
      </c>
      <c r="E903" s="544">
        <v>6.2</v>
      </c>
      <c r="F903" s="512"/>
      <c r="G903" s="480"/>
      <c r="H903" s="481"/>
      <c r="I903" s="482"/>
      <c r="J903" s="483">
        <v>4.6473243382833438</v>
      </c>
      <c r="K903" s="480">
        <v>3000</v>
      </c>
      <c r="L903" s="481"/>
      <c r="M903" s="482"/>
      <c r="N903" s="483"/>
      <c r="O903" s="513"/>
      <c r="P903" s="514">
        <v>3922</v>
      </c>
      <c r="Q903" s="486">
        <v>0.24000000000000002</v>
      </c>
      <c r="R903" s="485">
        <v>2.23</v>
      </c>
      <c r="S903" s="515">
        <v>9.1</v>
      </c>
      <c r="T903" s="516">
        <v>61.4</v>
      </c>
      <c r="U903" s="490">
        <v>10</v>
      </c>
      <c r="V903" s="373"/>
      <c r="W903" s="391" t="s">
        <v>511</v>
      </c>
    </row>
    <row r="904" spans="1:23">
      <c r="A904" s="476" t="s">
        <v>1375</v>
      </c>
      <c r="B904" s="542">
        <v>23.7</v>
      </c>
      <c r="C904" s="543">
        <v>28.1</v>
      </c>
      <c r="D904" s="543">
        <v>6.1</v>
      </c>
      <c r="E904" s="544">
        <v>6.2</v>
      </c>
      <c r="F904" s="512"/>
      <c r="G904" s="480"/>
      <c r="H904" s="481"/>
      <c r="I904" s="482"/>
      <c r="J904" s="483"/>
      <c r="K904" s="480"/>
      <c r="L904" s="481">
        <v>1.6122189040477708</v>
      </c>
      <c r="M904" s="482">
        <v>5775</v>
      </c>
      <c r="N904" s="483"/>
      <c r="O904" s="513"/>
      <c r="P904" s="514">
        <v>6548</v>
      </c>
      <c r="Q904" s="486">
        <v>0.24000000000000002</v>
      </c>
      <c r="R904" s="485">
        <v>2.23</v>
      </c>
      <c r="S904" s="515">
        <v>9.1</v>
      </c>
      <c r="T904" s="516">
        <v>61.4</v>
      </c>
      <c r="U904" s="490">
        <v>10</v>
      </c>
      <c r="V904" s="373"/>
      <c r="W904" s="391" t="s">
        <v>511</v>
      </c>
    </row>
    <row r="905" spans="1:23">
      <c r="A905" s="476" t="s">
        <v>1376</v>
      </c>
      <c r="B905" s="542">
        <v>24</v>
      </c>
      <c r="C905" s="543">
        <v>44</v>
      </c>
      <c r="D905" s="543">
        <v>6.07</v>
      </c>
      <c r="E905" s="544">
        <v>9.56</v>
      </c>
      <c r="F905" s="512"/>
      <c r="G905" s="480"/>
      <c r="H905" s="481">
        <v>5.5993602705966818</v>
      </c>
      <c r="I905" s="482">
        <v>2200</v>
      </c>
      <c r="J905" s="483"/>
      <c r="K905" s="480"/>
      <c r="L905" s="481"/>
      <c r="M905" s="482"/>
      <c r="N905" s="483"/>
      <c r="O905" s="513"/>
      <c r="P905" s="514">
        <v>2881</v>
      </c>
      <c r="Q905" s="486">
        <v>0.24000000000000002</v>
      </c>
      <c r="R905" s="485">
        <v>0.94</v>
      </c>
      <c r="S905" s="515">
        <v>3.8</v>
      </c>
      <c r="T905" s="516">
        <v>40</v>
      </c>
      <c r="U905" s="490">
        <v>10</v>
      </c>
      <c r="V905" s="373"/>
      <c r="W905" s="391" t="s">
        <v>511</v>
      </c>
    </row>
    <row r="906" spans="1:23">
      <c r="A906" s="476" t="s">
        <v>1377</v>
      </c>
      <c r="B906" s="542">
        <v>24</v>
      </c>
      <c r="C906" s="543">
        <v>44</v>
      </c>
      <c r="D906" s="543">
        <v>6.07</v>
      </c>
      <c r="E906" s="544">
        <v>9.56</v>
      </c>
      <c r="F906" s="512"/>
      <c r="G906" s="480"/>
      <c r="H906" s="481"/>
      <c r="I906" s="482"/>
      <c r="J906" s="483">
        <v>3.9629580829881941</v>
      </c>
      <c r="K906" s="480">
        <v>5000</v>
      </c>
      <c r="L906" s="481"/>
      <c r="M906" s="482"/>
      <c r="N906" s="483"/>
      <c r="O906" s="513"/>
      <c r="P906" s="514">
        <v>6037</v>
      </c>
      <c r="Q906" s="486">
        <v>0.24000000000000002</v>
      </c>
      <c r="R906" s="485">
        <v>0.94</v>
      </c>
      <c r="S906" s="515">
        <v>3.8</v>
      </c>
      <c r="T906" s="516">
        <v>40</v>
      </c>
      <c r="U906" s="490">
        <v>10</v>
      </c>
      <c r="V906" s="373"/>
      <c r="W906" s="391" t="s">
        <v>511</v>
      </c>
    </row>
    <row r="907" spans="1:23">
      <c r="A907" s="476" t="s">
        <v>1378</v>
      </c>
      <c r="B907" s="542">
        <v>14.37</v>
      </c>
      <c r="C907" s="543">
        <v>10.86</v>
      </c>
      <c r="D907" s="543">
        <v>4.9000000000000004</v>
      </c>
      <c r="E907" s="544">
        <v>3.1</v>
      </c>
      <c r="F907" s="512"/>
      <c r="G907" s="480"/>
      <c r="H907" s="481">
        <v>4.4336019861313707</v>
      </c>
      <c r="I907" s="482">
        <v>700</v>
      </c>
      <c r="J907" s="483"/>
      <c r="K907" s="480"/>
      <c r="L907" s="481"/>
      <c r="M907" s="482"/>
      <c r="N907" s="483"/>
      <c r="O907" s="513"/>
      <c r="P907" s="514">
        <v>1132</v>
      </c>
      <c r="Q907" s="486">
        <v>0.434</v>
      </c>
      <c r="R907" s="485">
        <v>8.98</v>
      </c>
      <c r="S907" s="515">
        <v>37</v>
      </c>
      <c r="T907" s="516">
        <v>100.3</v>
      </c>
      <c r="U907" s="490">
        <v>10</v>
      </c>
      <c r="V907" s="373"/>
      <c r="W907" s="391" t="s">
        <v>511</v>
      </c>
    </row>
    <row r="908" spans="1:23">
      <c r="A908" s="476" t="s">
        <v>1379</v>
      </c>
      <c r="B908" s="542">
        <v>14.37</v>
      </c>
      <c r="C908" s="543">
        <v>10.86</v>
      </c>
      <c r="D908" s="543">
        <v>4.9000000000000004</v>
      </c>
      <c r="E908" s="544">
        <v>3.1</v>
      </c>
      <c r="F908" s="512"/>
      <c r="G908" s="480"/>
      <c r="H908" s="481"/>
      <c r="I908" s="482"/>
      <c r="J908" s="483">
        <v>4.1090912580089336</v>
      </c>
      <c r="K908" s="480">
        <v>1650</v>
      </c>
      <c r="L908" s="481"/>
      <c r="M908" s="482"/>
      <c r="N908" s="483"/>
      <c r="O908" s="513"/>
      <c r="P908" s="514">
        <v>2379</v>
      </c>
      <c r="Q908" s="486">
        <v>0.434</v>
      </c>
      <c r="R908" s="485">
        <v>8.98</v>
      </c>
      <c r="S908" s="515">
        <v>37</v>
      </c>
      <c r="T908" s="516">
        <v>100.3</v>
      </c>
      <c r="U908" s="490">
        <v>10</v>
      </c>
      <c r="V908" s="373"/>
      <c r="W908" s="391" t="s">
        <v>511</v>
      </c>
    </row>
    <row r="909" spans="1:23">
      <c r="A909" s="476" t="s">
        <v>1380</v>
      </c>
      <c r="B909" s="542">
        <v>14.37</v>
      </c>
      <c r="C909" s="543">
        <v>10.86</v>
      </c>
      <c r="D909" s="543">
        <v>4.9000000000000004</v>
      </c>
      <c r="E909" s="544">
        <v>3.1</v>
      </c>
      <c r="F909" s="512"/>
      <c r="G909" s="480"/>
      <c r="H909" s="481"/>
      <c r="I909" s="482"/>
      <c r="J909" s="483"/>
      <c r="K909" s="480"/>
      <c r="L909" s="481">
        <v>3.304359770860303</v>
      </c>
      <c r="M909" s="482">
        <v>3150</v>
      </c>
      <c r="N909" s="483"/>
      <c r="O909" s="513"/>
      <c r="P909" s="514">
        <v>3979</v>
      </c>
      <c r="Q909" s="486">
        <v>0.434</v>
      </c>
      <c r="R909" s="485">
        <v>8.98</v>
      </c>
      <c r="S909" s="515">
        <v>37</v>
      </c>
      <c r="T909" s="516">
        <v>100.3</v>
      </c>
      <c r="U909" s="490">
        <v>10</v>
      </c>
      <c r="V909" s="373"/>
      <c r="W909" s="391" t="s">
        <v>511</v>
      </c>
    </row>
    <row r="910" spans="1:23">
      <c r="A910" s="476" t="s">
        <v>1381</v>
      </c>
      <c r="B910" s="542">
        <v>14.37</v>
      </c>
      <c r="C910" s="543">
        <v>10.86</v>
      </c>
      <c r="D910" s="543">
        <v>4.9000000000000004</v>
      </c>
      <c r="E910" s="544">
        <v>3.1</v>
      </c>
      <c r="F910" s="512"/>
      <c r="G910" s="480"/>
      <c r="H910" s="481"/>
      <c r="I910" s="482"/>
      <c r="J910" s="483"/>
      <c r="K910" s="480"/>
      <c r="L910" s="481"/>
      <c r="M910" s="482"/>
      <c r="N910" s="483">
        <v>2.7893997920842706</v>
      </c>
      <c r="O910" s="513">
        <v>3800</v>
      </c>
      <c r="P910" s="514">
        <v>4779</v>
      </c>
      <c r="Q910" s="486">
        <v>0.434</v>
      </c>
      <c r="R910" s="485">
        <v>8.98</v>
      </c>
      <c r="S910" s="515">
        <v>37</v>
      </c>
      <c r="T910" s="516">
        <v>100.3</v>
      </c>
      <c r="U910" s="490">
        <v>10</v>
      </c>
      <c r="V910" s="373"/>
      <c r="W910" s="391" t="s">
        <v>511</v>
      </c>
    </row>
    <row r="911" spans="1:23">
      <c r="A911" s="476" t="s">
        <v>1382</v>
      </c>
      <c r="B911" s="542">
        <v>14.64</v>
      </c>
      <c r="C911" s="543">
        <v>19.3</v>
      </c>
      <c r="D911" s="543">
        <v>4.96</v>
      </c>
      <c r="E911" s="544">
        <v>5.34</v>
      </c>
      <c r="F911" s="512"/>
      <c r="G911" s="480"/>
      <c r="H911" s="481">
        <v>4.2630788328186258</v>
      </c>
      <c r="I911" s="482">
        <v>1400</v>
      </c>
      <c r="J911" s="483"/>
      <c r="K911" s="480"/>
      <c r="L911" s="481"/>
      <c r="M911" s="482"/>
      <c r="N911" s="483"/>
      <c r="O911" s="513"/>
      <c r="P911" s="514">
        <v>1989</v>
      </c>
      <c r="Q911" s="486">
        <v>0.434</v>
      </c>
      <c r="R911" s="485">
        <v>2.87</v>
      </c>
      <c r="S911" s="515">
        <v>12</v>
      </c>
      <c r="T911" s="516">
        <v>57.5</v>
      </c>
      <c r="U911" s="490">
        <v>10</v>
      </c>
      <c r="V911" s="373"/>
      <c r="W911" s="391" t="s">
        <v>511</v>
      </c>
    </row>
    <row r="912" spans="1:23">
      <c r="A912" s="476" t="s">
        <v>1383</v>
      </c>
      <c r="B912" s="542">
        <v>14.64</v>
      </c>
      <c r="C912" s="543">
        <v>19.3</v>
      </c>
      <c r="D912" s="543">
        <v>4.96</v>
      </c>
      <c r="E912" s="544">
        <v>5.34</v>
      </c>
      <c r="F912" s="512"/>
      <c r="G912" s="480"/>
      <c r="H912" s="481"/>
      <c r="I912" s="482"/>
      <c r="J912" s="483">
        <v>3.3346749981159021</v>
      </c>
      <c r="K912" s="480">
        <v>3150</v>
      </c>
      <c r="L912" s="481"/>
      <c r="M912" s="482"/>
      <c r="N912" s="483"/>
      <c r="O912" s="513"/>
      <c r="P912" s="514">
        <v>4173</v>
      </c>
      <c r="Q912" s="486">
        <v>0.434</v>
      </c>
      <c r="R912" s="485">
        <v>2.87</v>
      </c>
      <c r="S912" s="515">
        <v>12</v>
      </c>
      <c r="T912" s="516">
        <v>57.5</v>
      </c>
      <c r="U912" s="490">
        <v>10</v>
      </c>
      <c r="V912" s="373"/>
      <c r="W912" s="391" t="s">
        <v>511</v>
      </c>
    </row>
    <row r="913" spans="1:23">
      <c r="A913" s="476" t="s">
        <v>1384</v>
      </c>
      <c r="B913" s="542">
        <v>14.64</v>
      </c>
      <c r="C913" s="543">
        <v>19.3</v>
      </c>
      <c r="D913" s="543">
        <v>4.96</v>
      </c>
      <c r="E913" s="544">
        <v>5.34</v>
      </c>
      <c r="F913" s="512"/>
      <c r="G913" s="480"/>
      <c r="H913" s="481"/>
      <c r="I913" s="482"/>
      <c r="J913" s="483"/>
      <c r="K913" s="480"/>
      <c r="L913" s="481">
        <v>1.4226503076377583</v>
      </c>
      <c r="M913" s="482">
        <v>4900</v>
      </c>
      <c r="N913" s="483"/>
      <c r="O913" s="513"/>
      <c r="P913" s="514">
        <v>6970</v>
      </c>
      <c r="Q913" s="486">
        <v>0.434</v>
      </c>
      <c r="R913" s="485">
        <v>2.87</v>
      </c>
      <c r="S913" s="515">
        <v>12</v>
      </c>
      <c r="T913" s="516">
        <v>57.5</v>
      </c>
      <c r="U913" s="490">
        <v>10</v>
      </c>
      <c r="V913" s="373"/>
      <c r="W913" s="391" t="s">
        <v>511</v>
      </c>
    </row>
    <row r="914" spans="1:23">
      <c r="A914" s="476" t="s">
        <v>1385</v>
      </c>
      <c r="B914" s="542">
        <v>15.1</v>
      </c>
      <c r="C914" s="543">
        <v>27.6</v>
      </c>
      <c r="D914" s="543">
        <v>4.8499999999999996</v>
      </c>
      <c r="E914" s="544">
        <v>6.45</v>
      </c>
      <c r="F914" s="512"/>
      <c r="G914" s="480"/>
      <c r="H914" s="481">
        <v>3.9834208613857238</v>
      </c>
      <c r="I914" s="482">
        <v>1750</v>
      </c>
      <c r="J914" s="483"/>
      <c r="K914" s="480"/>
      <c r="L914" s="481"/>
      <c r="M914" s="482"/>
      <c r="N914" s="483"/>
      <c r="O914" s="513"/>
      <c r="P914" s="514">
        <v>2470</v>
      </c>
      <c r="Q914" s="486">
        <v>0.434</v>
      </c>
      <c r="R914" s="485">
        <v>1.97</v>
      </c>
      <c r="S914" s="515">
        <v>7.9</v>
      </c>
      <c r="T914" s="516">
        <v>46.3</v>
      </c>
      <c r="U914" s="490">
        <v>10</v>
      </c>
      <c r="V914" s="373"/>
      <c r="W914" s="391" t="s">
        <v>511</v>
      </c>
    </row>
    <row r="915" spans="1:23">
      <c r="A915" s="476" t="s">
        <v>1386</v>
      </c>
      <c r="B915" s="542">
        <v>15.1</v>
      </c>
      <c r="C915" s="543">
        <v>27.6</v>
      </c>
      <c r="D915" s="543">
        <v>4.8499999999999996</v>
      </c>
      <c r="E915" s="544">
        <v>6.45</v>
      </c>
      <c r="F915" s="512"/>
      <c r="G915" s="480"/>
      <c r="H915" s="481"/>
      <c r="I915" s="482"/>
      <c r="J915" s="483">
        <v>2.3166932544737429</v>
      </c>
      <c r="K915" s="480">
        <v>4225</v>
      </c>
      <c r="L915" s="481"/>
      <c r="M915" s="482"/>
      <c r="N915" s="483"/>
      <c r="O915" s="513"/>
      <c r="P915" s="514">
        <v>5178</v>
      </c>
      <c r="Q915" s="486">
        <v>0.434</v>
      </c>
      <c r="R915" s="485">
        <v>1.97</v>
      </c>
      <c r="S915" s="515">
        <v>7.9</v>
      </c>
      <c r="T915" s="516">
        <v>46.3</v>
      </c>
      <c r="U915" s="490">
        <v>10</v>
      </c>
      <c r="V915" s="373"/>
      <c r="W915" s="391" t="s">
        <v>511</v>
      </c>
    </row>
    <row r="916" spans="1:23">
      <c r="A916" s="476" t="s">
        <v>1387</v>
      </c>
      <c r="B916" s="542">
        <v>15.2</v>
      </c>
      <c r="C916" s="543">
        <v>34.299999999999997</v>
      </c>
      <c r="D916" s="543">
        <v>4.75</v>
      </c>
      <c r="E916" s="544">
        <v>7.95</v>
      </c>
      <c r="F916" s="512"/>
      <c r="G916" s="480"/>
      <c r="H916" s="481">
        <v>3.6744032513824534</v>
      </c>
      <c r="I916" s="482">
        <v>2300</v>
      </c>
      <c r="J916" s="483"/>
      <c r="K916" s="480"/>
      <c r="L916" s="481"/>
      <c r="M916" s="482"/>
      <c r="N916" s="483"/>
      <c r="O916" s="513"/>
      <c r="P916" s="514">
        <v>3097</v>
      </c>
      <c r="Q916" s="486">
        <v>0.434</v>
      </c>
      <c r="R916" s="485">
        <v>1.3</v>
      </c>
      <c r="S916" s="515">
        <v>5.2</v>
      </c>
      <c r="T916" s="516">
        <v>37.1</v>
      </c>
      <c r="U916" s="490">
        <v>10</v>
      </c>
      <c r="V916" s="373"/>
      <c r="W916" s="391" t="s">
        <v>511</v>
      </c>
    </row>
    <row r="917" spans="1:23">
      <c r="A917" s="476" t="s">
        <v>1388</v>
      </c>
      <c r="B917" s="542">
        <v>15.2</v>
      </c>
      <c r="C917" s="543">
        <v>34.299999999999997</v>
      </c>
      <c r="D917" s="543">
        <v>4.75</v>
      </c>
      <c r="E917" s="544">
        <v>7.95</v>
      </c>
      <c r="F917" s="512"/>
      <c r="G917" s="480"/>
      <c r="H917" s="481"/>
      <c r="I917" s="482"/>
      <c r="J917" s="483">
        <v>1.3252085057447611</v>
      </c>
      <c r="K917" s="480">
        <v>4900</v>
      </c>
      <c r="L917" s="481"/>
      <c r="M917" s="482"/>
      <c r="N917" s="483"/>
      <c r="O917" s="513"/>
      <c r="P917" s="514">
        <v>6489</v>
      </c>
      <c r="Q917" s="486">
        <v>0.434</v>
      </c>
      <c r="R917" s="485">
        <v>1.3</v>
      </c>
      <c r="S917" s="515">
        <v>5.2</v>
      </c>
      <c r="T917" s="516">
        <v>37.1</v>
      </c>
      <c r="U917" s="490">
        <v>10</v>
      </c>
      <c r="V917" s="373"/>
      <c r="W917" s="391" t="s">
        <v>511</v>
      </c>
    </row>
    <row r="918" spans="1:23">
      <c r="A918" s="476" t="s">
        <v>1389</v>
      </c>
      <c r="B918" s="542">
        <v>15.32</v>
      </c>
      <c r="C918" s="543">
        <v>39</v>
      </c>
      <c r="D918" s="543">
        <v>5.09</v>
      </c>
      <c r="E918" s="544">
        <v>10.44</v>
      </c>
      <c r="F918" s="512"/>
      <c r="G918" s="480"/>
      <c r="H918" s="481">
        <v>3.6221469807121007</v>
      </c>
      <c r="I918" s="482">
        <v>2900</v>
      </c>
      <c r="J918" s="483"/>
      <c r="K918" s="480"/>
      <c r="L918" s="481"/>
      <c r="M918" s="482"/>
      <c r="N918" s="483"/>
      <c r="O918" s="513"/>
      <c r="P918" s="514">
        <v>3815</v>
      </c>
      <c r="Q918" s="486">
        <v>0.434</v>
      </c>
      <c r="R918" s="485">
        <v>0.75</v>
      </c>
      <c r="S918" s="515">
        <v>3.4</v>
      </c>
      <c r="T918" s="516">
        <v>30</v>
      </c>
      <c r="U918" s="490">
        <v>10</v>
      </c>
      <c r="V918" s="373"/>
      <c r="W918" s="391" t="s">
        <v>511</v>
      </c>
    </row>
    <row r="919" spans="1:23">
      <c r="A919" s="476" t="s">
        <v>1390</v>
      </c>
      <c r="B919" s="542">
        <v>15.32</v>
      </c>
      <c r="C919" s="543">
        <v>39</v>
      </c>
      <c r="D919" s="543">
        <v>5.09</v>
      </c>
      <c r="E919" s="544">
        <v>10.44</v>
      </c>
      <c r="F919" s="512"/>
      <c r="G919" s="480"/>
      <c r="H919" s="481"/>
      <c r="I919" s="482"/>
      <c r="J919" s="483">
        <v>1.4421386680163577</v>
      </c>
      <c r="K919" s="480">
        <v>4900</v>
      </c>
      <c r="L919" s="481"/>
      <c r="M919" s="482"/>
      <c r="N919" s="483"/>
      <c r="O919" s="513"/>
      <c r="P919" s="514">
        <v>6918</v>
      </c>
      <c r="Q919" s="486">
        <v>0.434</v>
      </c>
      <c r="R919" s="485">
        <v>0.75</v>
      </c>
      <c r="S919" s="515">
        <v>3.4</v>
      </c>
      <c r="T919" s="516">
        <v>30</v>
      </c>
      <c r="U919" s="490">
        <v>10</v>
      </c>
      <c r="V919" s="373"/>
      <c r="W919" s="391" t="s">
        <v>511</v>
      </c>
    </row>
    <row r="920" spans="1:23">
      <c r="A920" s="476" t="s">
        <v>1391</v>
      </c>
      <c r="B920" s="542">
        <v>15.73</v>
      </c>
      <c r="C920" s="543">
        <v>43.7</v>
      </c>
      <c r="D920" s="543">
        <v>4.63</v>
      </c>
      <c r="E920" s="544">
        <v>12</v>
      </c>
      <c r="F920" s="512"/>
      <c r="G920" s="480"/>
      <c r="H920" s="481">
        <v>2.4658943081579734</v>
      </c>
      <c r="I920" s="482">
        <v>3950</v>
      </c>
      <c r="J920" s="483"/>
      <c r="K920" s="480"/>
      <c r="L920" s="481"/>
      <c r="M920" s="482"/>
      <c r="N920" s="483"/>
      <c r="O920" s="513"/>
      <c r="P920" s="514">
        <v>4765</v>
      </c>
      <c r="Q920" s="486">
        <v>0.434</v>
      </c>
      <c r="R920" s="485">
        <v>0.56000000000000005</v>
      </c>
      <c r="S920" s="515">
        <v>2.1</v>
      </c>
      <c r="T920" s="516">
        <v>23.7</v>
      </c>
      <c r="U920" s="490">
        <v>10</v>
      </c>
      <c r="V920" s="373"/>
      <c r="W920" s="391" t="s">
        <v>511</v>
      </c>
    </row>
    <row r="921" spans="1:23">
      <c r="A921" s="476" t="s">
        <v>1392</v>
      </c>
      <c r="B921" s="542">
        <v>29.4</v>
      </c>
      <c r="C921" s="543">
        <v>15</v>
      </c>
      <c r="D921" s="543">
        <v>8.6999999999999993</v>
      </c>
      <c r="E921" s="544">
        <v>3.33</v>
      </c>
      <c r="F921" s="512"/>
      <c r="G921" s="480"/>
      <c r="H921" s="481">
        <v>8.0801740338962258</v>
      </c>
      <c r="I921" s="482">
        <v>390</v>
      </c>
      <c r="J921" s="483"/>
      <c r="K921" s="480"/>
      <c r="L921" s="481"/>
      <c r="M921" s="482"/>
      <c r="N921" s="483"/>
      <c r="O921" s="513"/>
      <c r="P921" s="514">
        <v>707</v>
      </c>
      <c r="Q921" s="486">
        <v>0.67800000000000005</v>
      </c>
      <c r="R921" s="485">
        <v>8.9600000000000009</v>
      </c>
      <c r="S921" s="515">
        <v>45</v>
      </c>
      <c r="T921" s="516">
        <v>162</v>
      </c>
      <c r="U921" s="490">
        <v>10</v>
      </c>
      <c r="V921" s="373"/>
      <c r="W921" s="391" t="s">
        <v>511</v>
      </c>
    </row>
    <row r="922" spans="1:23">
      <c r="A922" s="476" t="s">
        <v>1393</v>
      </c>
      <c r="B922" s="542">
        <v>29.4</v>
      </c>
      <c r="C922" s="543">
        <v>15</v>
      </c>
      <c r="D922" s="543">
        <v>8.6999999999999993</v>
      </c>
      <c r="E922" s="544">
        <v>3.33</v>
      </c>
      <c r="F922" s="512"/>
      <c r="G922" s="480"/>
      <c r="H922" s="481"/>
      <c r="I922" s="482"/>
      <c r="J922" s="483">
        <v>8.0691556147590937</v>
      </c>
      <c r="K922" s="480">
        <v>1000</v>
      </c>
      <c r="L922" s="481"/>
      <c r="M922" s="482"/>
      <c r="N922" s="483"/>
      <c r="O922" s="513"/>
      <c r="P922" s="514">
        <v>1484</v>
      </c>
      <c r="Q922" s="486">
        <v>0.67800000000000005</v>
      </c>
      <c r="R922" s="485">
        <v>8.9600000000000009</v>
      </c>
      <c r="S922" s="515">
        <v>45</v>
      </c>
      <c r="T922" s="516">
        <v>162</v>
      </c>
      <c r="U922" s="490">
        <v>10</v>
      </c>
      <c r="V922" s="373"/>
      <c r="W922" s="391" t="s">
        <v>511</v>
      </c>
    </row>
    <row r="923" spans="1:23">
      <c r="A923" s="476" t="s">
        <v>1394</v>
      </c>
      <c r="B923" s="542">
        <v>29.4</v>
      </c>
      <c r="C923" s="543">
        <v>15</v>
      </c>
      <c r="D923" s="543">
        <v>8.6999999999999993</v>
      </c>
      <c r="E923" s="544">
        <v>3.33</v>
      </c>
      <c r="F923" s="512"/>
      <c r="G923" s="480"/>
      <c r="H923" s="481"/>
      <c r="I923" s="482"/>
      <c r="J923" s="483"/>
      <c r="K923" s="480"/>
      <c r="L923" s="481">
        <v>7.5170103891095179</v>
      </c>
      <c r="M923" s="482">
        <v>1950</v>
      </c>
      <c r="N923" s="483"/>
      <c r="O923" s="513"/>
      <c r="P923" s="514">
        <v>2482</v>
      </c>
      <c r="Q923" s="486">
        <v>0.67800000000000005</v>
      </c>
      <c r="R923" s="485">
        <v>8.9600000000000009</v>
      </c>
      <c r="S923" s="515">
        <v>45</v>
      </c>
      <c r="T923" s="516">
        <v>162</v>
      </c>
      <c r="U923" s="490">
        <v>10</v>
      </c>
      <c r="V923" s="373"/>
      <c r="W923" s="391" t="s">
        <v>511</v>
      </c>
    </row>
    <row r="924" spans="1:23">
      <c r="A924" s="476" t="s">
        <v>1395</v>
      </c>
      <c r="B924" s="542">
        <v>29.4</v>
      </c>
      <c r="C924" s="543">
        <v>15</v>
      </c>
      <c r="D924" s="543">
        <v>8.6999999999999993</v>
      </c>
      <c r="E924" s="544">
        <v>3.33</v>
      </c>
      <c r="F924" s="512"/>
      <c r="G924" s="480"/>
      <c r="H924" s="481"/>
      <c r="I924" s="482"/>
      <c r="J924" s="483"/>
      <c r="K924" s="480"/>
      <c r="L924" s="481"/>
      <c r="M924" s="482"/>
      <c r="N924" s="483">
        <v>7.4404935895461071</v>
      </c>
      <c r="O924" s="513">
        <v>2400</v>
      </c>
      <c r="P924" s="514">
        <v>2982</v>
      </c>
      <c r="Q924" s="486">
        <v>0.67800000000000005</v>
      </c>
      <c r="R924" s="485">
        <v>8.9600000000000009</v>
      </c>
      <c r="S924" s="515">
        <v>45</v>
      </c>
      <c r="T924" s="516">
        <v>162</v>
      </c>
      <c r="U924" s="490">
        <v>10</v>
      </c>
      <c r="V924" s="373"/>
      <c r="W924" s="391" t="s">
        <v>511</v>
      </c>
    </row>
    <row r="925" spans="1:23">
      <c r="A925" s="476" t="s">
        <v>1396</v>
      </c>
      <c r="B925" s="542">
        <v>29.7</v>
      </c>
      <c r="C925" s="543">
        <v>23.6</v>
      </c>
      <c r="D925" s="543">
        <v>8.75</v>
      </c>
      <c r="E925" s="544">
        <v>5.18</v>
      </c>
      <c r="F925" s="512"/>
      <c r="G925" s="480"/>
      <c r="H925" s="481">
        <v>8.0214091318315255</v>
      </c>
      <c r="I925" s="482">
        <v>750</v>
      </c>
      <c r="J925" s="483"/>
      <c r="K925" s="480"/>
      <c r="L925" s="481"/>
      <c r="M925" s="482"/>
      <c r="N925" s="483"/>
      <c r="O925" s="513"/>
      <c r="P925" s="514">
        <v>1098</v>
      </c>
      <c r="Q925" s="486">
        <v>0.67800000000000005</v>
      </c>
      <c r="R925" s="485">
        <v>3.7</v>
      </c>
      <c r="S925" s="515">
        <v>19</v>
      </c>
      <c r="T925" s="516">
        <v>104</v>
      </c>
      <c r="U925" s="490">
        <v>10</v>
      </c>
      <c r="V925" s="373"/>
      <c r="W925" s="391" t="s">
        <v>511</v>
      </c>
    </row>
    <row r="926" spans="1:23">
      <c r="A926" s="476" t="s">
        <v>1397</v>
      </c>
      <c r="B926" s="542">
        <v>29.7</v>
      </c>
      <c r="C926" s="543">
        <v>23.6</v>
      </c>
      <c r="D926" s="543">
        <v>8.75</v>
      </c>
      <c r="E926" s="544">
        <v>5.18</v>
      </c>
      <c r="F926" s="512"/>
      <c r="G926" s="480"/>
      <c r="H926" s="481"/>
      <c r="I926" s="482"/>
      <c r="J926" s="483">
        <v>7.6956096012669404</v>
      </c>
      <c r="K926" s="480">
        <v>1700</v>
      </c>
      <c r="L926" s="481"/>
      <c r="M926" s="482"/>
      <c r="N926" s="483"/>
      <c r="O926" s="513"/>
      <c r="P926" s="514">
        <v>2303</v>
      </c>
      <c r="Q926" s="486">
        <v>0.67800000000000005</v>
      </c>
      <c r="R926" s="485">
        <v>3.7</v>
      </c>
      <c r="S926" s="515">
        <v>19</v>
      </c>
      <c r="T926" s="516">
        <v>104</v>
      </c>
      <c r="U926" s="490">
        <v>10</v>
      </c>
      <c r="V926" s="373"/>
      <c r="W926" s="391" t="s">
        <v>511</v>
      </c>
    </row>
    <row r="927" spans="1:23">
      <c r="A927" s="476" t="s">
        <v>1398</v>
      </c>
      <c r="B927" s="542">
        <v>29.7</v>
      </c>
      <c r="C927" s="543">
        <v>23.6</v>
      </c>
      <c r="D927" s="543">
        <v>8.75</v>
      </c>
      <c r="E927" s="544">
        <v>5.18</v>
      </c>
      <c r="F927" s="512"/>
      <c r="G927" s="480"/>
      <c r="H927" s="481"/>
      <c r="I927" s="482"/>
      <c r="J927" s="483"/>
      <c r="K927" s="480"/>
      <c r="L927" s="481">
        <v>6.7906109052542005</v>
      </c>
      <c r="M927" s="482">
        <v>3150</v>
      </c>
      <c r="N927" s="483"/>
      <c r="O927" s="513"/>
      <c r="P927" s="514">
        <v>3845</v>
      </c>
      <c r="Q927" s="486">
        <v>0.67800000000000005</v>
      </c>
      <c r="R927" s="485">
        <v>3.7</v>
      </c>
      <c r="S927" s="515">
        <v>19</v>
      </c>
      <c r="T927" s="516">
        <v>104</v>
      </c>
      <c r="U927" s="490">
        <v>10</v>
      </c>
      <c r="V927" s="373"/>
      <c r="W927" s="391" t="s">
        <v>511</v>
      </c>
    </row>
    <row r="928" spans="1:23">
      <c r="A928" s="476" t="s">
        <v>1399</v>
      </c>
      <c r="B928" s="542">
        <v>29.7</v>
      </c>
      <c r="C928" s="543">
        <v>23.6</v>
      </c>
      <c r="D928" s="543">
        <v>8.75</v>
      </c>
      <c r="E928" s="544">
        <v>5.18</v>
      </c>
      <c r="F928" s="512"/>
      <c r="G928" s="480"/>
      <c r="H928" s="481"/>
      <c r="I928" s="482"/>
      <c r="J928" s="483"/>
      <c r="K928" s="480"/>
      <c r="L928" s="481"/>
      <c r="M928" s="482"/>
      <c r="N928" s="483">
        <v>6.0876765732649973</v>
      </c>
      <c r="O928" s="513">
        <v>4000</v>
      </c>
      <c r="P928" s="514">
        <v>4614</v>
      </c>
      <c r="Q928" s="486">
        <v>0.67800000000000005</v>
      </c>
      <c r="R928" s="485">
        <v>3.7</v>
      </c>
      <c r="S928" s="515">
        <v>19</v>
      </c>
      <c r="T928" s="516">
        <v>104</v>
      </c>
      <c r="U928" s="490">
        <v>10</v>
      </c>
      <c r="V928" s="373"/>
      <c r="W928" s="391" t="s">
        <v>511</v>
      </c>
    </row>
    <row r="929" spans="1:23">
      <c r="A929" s="476" t="s">
        <v>1400</v>
      </c>
      <c r="B929" s="542">
        <v>29.7</v>
      </c>
      <c r="C929" s="543">
        <v>29.5</v>
      </c>
      <c r="D929" s="543">
        <v>8.75</v>
      </c>
      <c r="E929" s="544">
        <v>6.5</v>
      </c>
      <c r="F929" s="512"/>
      <c r="G929" s="480"/>
      <c r="H929" s="481">
        <v>7.9912534584035866</v>
      </c>
      <c r="I929" s="482">
        <v>950</v>
      </c>
      <c r="J929" s="483"/>
      <c r="K929" s="480"/>
      <c r="L929" s="481"/>
      <c r="M929" s="482"/>
      <c r="N929" s="483"/>
      <c r="O929" s="513"/>
      <c r="P929" s="514">
        <v>1380</v>
      </c>
      <c r="Q929" s="486">
        <v>0.67800000000000005</v>
      </c>
      <c r="R929" s="485">
        <v>2.35</v>
      </c>
      <c r="S929" s="515">
        <v>12</v>
      </c>
      <c r="T929" s="516">
        <v>83.4</v>
      </c>
      <c r="U929" s="490">
        <v>10</v>
      </c>
      <c r="V929" s="373"/>
      <c r="W929" s="391" t="s">
        <v>511</v>
      </c>
    </row>
    <row r="930" spans="1:23">
      <c r="A930" s="476" t="s">
        <v>1401</v>
      </c>
      <c r="B930" s="542">
        <v>29.7</v>
      </c>
      <c r="C930" s="543">
        <v>29.5</v>
      </c>
      <c r="D930" s="543">
        <v>8.75</v>
      </c>
      <c r="E930" s="544">
        <v>6.5</v>
      </c>
      <c r="F930" s="512"/>
      <c r="G930" s="480"/>
      <c r="H930" s="481"/>
      <c r="I930" s="482"/>
      <c r="J930" s="483">
        <v>7.4617759365874656</v>
      </c>
      <c r="K930" s="480">
        <v>2150</v>
      </c>
      <c r="L930" s="481"/>
      <c r="M930" s="482"/>
      <c r="N930" s="483"/>
      <c r="O930" s="513"/>
      <c r="P930" s="514">
        <v>2895</v>
      </c>
      <c r="Q930" s="486">
        <v>0.67800000000000005</v>
      </c>
      <c r="R930" s="485">
        <v>2.35</v>
      </c>
      <c r="S930" s="515">
        <v>12</v>
      </c>
      <c r="T930" s="516">
        <v>83.4</v>
      </c>
      <c r="U930" s="490">
        <v>10</v>
      </c>
      <c r="V930" s="373"/>
      <c r="W930" s="391" t="s">
        <v>511</v>
      </c>
    </row>
    <row r="931" spans="1:23">
      <c r="A931" s="476" t="s">
        <v>1402</v>
      </c>
      <c r="B931" s="542">
        <v>29.7</v>
      </c>
      <c r="C931" s="543">
        <v>29.5</v>
      </c>
      <c r="D931" s="543">
        <v>8.75</v>
      </c>
      <c r="E931" s="544">
        <v>6.5</v>
      </c>
      <c r="F931" s="512"/>
      <c r="G931" s="480"/>
      <c r="H931" s="481"/>
      <c r="I931" s="482"/>
      <c r="J931" s="483"/>
      <c r="K931" s="480"/>
      <c r="L931" s="481">
        <v>6.0399300903374282</v>
      </c>
      <c r="M931" s="482">
        <v>4000</v>
      </c>
      <c r="N931" s="483"/>
      <c r="O931" s="513"/>
      <c r="P931" s="514">
        <v>4826</v>
      </c>
      <c r="Q931" s="486">
        <v>0.67800000000000005</v>
      </c>
      <c r="R931" s="485">
        <v>2.35</v>
      </c>
      <c r="S931" s="515">
        <v>12</v>
      </c>
      <c r="T931" s="516">
        <v>83.4</v>
      </c>
      <c r="U931" s="490">
        <v>10</v>
      </c>
      <c r="V931" s="373"/>
      <c r="W931" s="391" t="s">
        <v>511</v>
      </c>
    </row>
    <row r="932" spans="1:23">
      <c r="A932" s="476" t="s">
        <v>1403</v>
      </c>
      <c r="B932" s="542">
        <v>29.7</v>
      </c>
      <c r="C932" s="543">
        <v>29.5</v>
      </c>
      <c r="D932" s="543">
        <v>8.75</v>
      </c>
      <c r="E932" s="544">
        <v>6.5</v>
      </c>
      <c r="F932" s="512"/>
      <c r="G932" s="480"/>
      <c r="H932" s="481"/>
      <c r="I932" s="482"/>
      <c r="J932" s="483"/>
      <c r="K932" s="480"/>
      <c r="L932" s="481"/>
      <c r="M932" s="482"/>
      <c r="N932" s="483">
        <v>4.8414933688554562</v>
      </c>
      <c r="O932" s="513">
        <v>5000</v>
      </c>
      <c r="P932" s="514">
        <v>5791</v>
      </c>
      <c r="Q932" s="486">
        <v>0.67800000000000005</v>
      </c>
      <c r="R932" s="485">
        <v>2.35</v>
      </c>
      <c r="S932" s="515">
        <v>12</v>
      </c>
      <c r="T932" s="516">
        <v>83.4</v>
      </c>
      <c r="U932" s="490">
        <v>10</v>
      </c>
      <c r="V932" s="373"/>
      <c r="W932" s="391" t="s">
        <v>511</v>
      </c>
    </row>
    <row r="933" spans="1:23">
      <c r="A933" s="476" t="s">
        <v>1404</v>
      </c>
      <c r="B933" s="542">
        <v>29.8</v>
      </c>
      <c r="C933" s="543">
        <v>37</v>
      </c>
      <c r="D933" s="543">
        <v>8.6199999999999992</v>
      </c>
      <c r="E933" s="544">
        <v>8</v>
      </c>
      <c r="F933" s="512"/>
      <c r="G933" s="480"/>
      <c r="H933" s="481">
        <v>7.7953441514397719</v>
      </c>
      <c r="I933" s="482">
        <v>1225</v>
      </c>
      <c r="J933" s="483"/>
      <c r="K933" s="480"/>
      <c r="L933" s="481"/>
      <c r="M933" s="482"/>
      <c r="N933" s="483"/>
      <c r="O933" s="513"/>
      <c r="P933" s="514">
        <v>1717</v>
      </c>
      <c r="Q933" s="486">
        <v>0.67800000000000005</v>
      </c>
      <c r="R933" s="485">
        <v>1.57</v>
      </c>
      <c r="S933" s="515">
        <v>7.8</v>
      </c>
      <c r="T933" s="516">
        <v>67</v>
      </c>
      <c r="U933" s="490">
        <v>10</v>
      </c>
      <c r="V933" s="373"/>
      <c r="W933" s="391" t="s">
        <v>511</v>
      </c>
    </row>
    <row r="934" spans="1:23">
      <c r="A934" s="476" t="s">
        <v>1405</v>
      </c>
      <c r="B934" s="542">
        <v>29.8</v>
      </c>
      <c r="C934" s="543">
        <v>37</v>
      </c>
      <c r="D934" s="543">
        <v>8.6199999999999992</v>
      </c>
      <c r="E934" s="544">
        <v>8</v>
      </c>
      <c r="F934" s="512"/>
      <c r="G934" s="480"/>
      <c r="H934" s="481"/>
      <c r="I934" s="482"/>
      <c r="J934" s="483">
        <v>6.9736147541916713</v>
      </c>
      <c r="K934" s="480">
        <v>2725</v>
      </c>
      <c r="L934" s="481"/>
      <c r="M934" s="482"/>
      <c r="N934" s="483"/>
      <c r="O934" s="513"/>
      <c r="P934" s="514">
        <v>3597</v>
      </c>
      <c r="Q934" s="486">
        <v>0.67800000000000005</v>
      </c>
      <c r="R934" s="485">
        <v>1.57</v>
      </c>
      <c r="S934" s="515">
        <v>7.8</v>
      </c>
      <c r="T934" s="516">
        <v>67</v>
      </c>
      <c r="U934" s="490">
        <v>10</v>
      </c>
      <c r="V934" s="373"/>
      <c r="W934" s="391" t="s">
        <v>511</v>
      </c>
    </row>
    <row r="935" spans="1:23">
      <c r="A935" s="476" t="s">
        <v>1406</v>
      </c>
      <c r="B935" s="542">
        <v>29.8</v>
      </c>
      <c r="C935" s="543">
        <v>37</v>
      </c>
      <c r="D935" s="543">
        <v>8.6199999999999992</v>
      </c>
      <c r="E935" s="544">
        <v>8</v>
      </c>
      <c r="F935" s="512"/>
      <c r="G935" s="480"/>
      <c r="H935" s="481"/>
      <c r="I935" s="482"/>
      <c r="J935" s="483"/>
      <c r="K935" s="480"/>
      <c r="L935" s="481">
        <v>4.4612543893712751</v>
      </c>
      <c r="M935" s="482">
        <v>5180</v>
      </c>
      <c r="N935" s="483"/>
      <c r="O935" s="513"/>
      <c r="P935" s="514">
        <v>5995</v>
      </c>
      <c r="Q935" s="486">
        <v>0.67800000000000005</v>
      </c>
      <c r="R935" s="485">
        <v>1.57</v>
      </c>
      <c r="S935" s="515">
        <v>7.8</v>
      </c>
      <c r="T935" s="516">
        <v>67</v>
      </c>
      <c r="U935" s="490">
        <v>10</v>
      </c>
      <c r="V935" s="373"/>
      <c r="W935" s="391" t="s">
        <v>511</v>
      </c>
    </row>
    <row r="936" spans="1:23">
      <c r="A936" s="476" t="s">
        <v>1407</v>
      </c>
      <c r="B936" s="542">
        <v>29.8</v>
      </c>
      <c r="C936" s="543">
        <v>37</v>
      </c>
      <c r="D936" s="543">
        <v>8.6199999999999992</v>
      </c>
      <c r="E936" s="544">
        <v>8</v>
      </c>
      <c r="F936" s="512"/>
      <c r="G936" s="480"/>
      <c r="H936" s="481"/>
      <c r="I936" s="482"/>
      <c r="J936" s="483"/>
      <c r="K936" s="480"/>
      <c r="L936" s="481"/>
      <c r="M936" s="482"/>
      <c r="N936" s="483">
        <v>2.8488734813449264</v>
      </c>
      <c r="O936" s="513">
        <v>6000</v>
      </c>
      <c r="P936" s="514">
        <v>7193</v>
      </c>
      <c r="Q936" s="486">
        <v>0.67800000000000005</v>
      </c>
      <c r="R936" s="485">
        <v>1.57</v>
      </c>
      <c r="S936" s="515">
        <v>7.8</v>
      </c>
      <c r="T936" s="516">
        <v>67</v>
      </c>
      <c r="U936" s="490">
        <v>10</v>
      </c>
      <c r="V936" s="373"/>
      <c r="W936" s="391" t="s">
        <v>511</v>
      </c>
    </row>
    <row r="937" spans="1:23">
      <c r="A937" s="476" t="s">
        <v>1408</v>
      </c>
      <c r="B937" s="542">
        <v>29.8</v>
      </c>
      <c r="C937" s="543">
        <v>46.5</v>
      </c>
      <c r="D937" s="543">
        <v>8.85</v>
      </c>
      <c r="E937" s="544">
        <v>10.199999999999999</v>
      </c>
      <c r="F937" s="512"/>
      <c r="G937" s="480"/>
      <c r="H937" s="481">
        <v>7.8184865793893579</v>
      </c>
      <c r="I937" s="482">
        <v>1600</v>
      </c>
      <c r="J937" s="483"/>
      <c r="K937" s="480"/>
      <c r="L937" s="481"/>
      <c r="M937" s="482"/>
      <c r="N937" s="483"/>
      <c r="O937" s="513"/>
      <c r="P937" s="514">
        <v>2143</v>
      </c>
      <c r="Q937" s="486">
        <v>0.67800000000000005</v>
      </c>
      <c r="R937" s="485">
        <v>0.96</v>
      </c>
      <c r="S937" s="515">
        <v>5</v>
      </c>
      <c r="T937" s="516">
        <v>54</v>
      </c>
      <c r="U937" s="490">
        <v>10</v>
      </c>
      <c r="V937" s="373"/>
      <c r="W937" s="391" t="s">
        <v>511</v>
      </c>
    </row>
    <row r="938" spans="1:23">
      <c r="A938" s="476" t="s">
        <v>1409</v>
      </c>
      <c r="B938" s="542">
        <v>29.8</v>
      </c>
      <c r="C938" s="543">
        <v>46.5</v>
      </c>
      <c r="D938" s="543">
        <v>8.85</v>
      </c>
      <c r="E938" s="544">
        <v>10.199999999999999</v>
      </c>
      <c r="F938" s="512"/>
      <c r="G938" s="480"/>
      <c r="H938" s="481"/>
      <c r="I938" s="482"/>
      <c r="J938" s="483">
        <v>6.5120897548433847</v>
      </c>
      <c r="K938" s="480">
        <v>3600</v>
      </c>
      <c r="L938" s="481"/>
      <c r="M938" s="482"/>
      <c r="N938" s="483"/>
      <c r="O938" s="513"/>
      <c r="P938" s="514">
        <v>4480</v>
      </c>
      <c r="Q938" s="486">
        <v>0.67800000000000005</v>
      </c>
      <c r="R938" s="485">
        <v>0.96</v>
      </c>
      <c r="S938" s="515">
        <v>5</v>
      </c>
      <c r="T938" s="516">
        <v>54</v>
      </c>
      <c r="U938" s="490">
        <v>10</v>
      </c>
      <c r="V938" s="373"/>
      <c r="W938" s="391" t="s">
        <v>511</v>
      </c>
    </row>
    <row r="939" spans="1:23">
      <c r="A939" s="476" t="s">
        <v>1410</v>
      </c>
      <c r="B939" s="542">
        <v>29.8</v>
      </c>
      <c r="C939" s="543">
        <v>43.3</v>
      </c>
      <c r="D939" s="543">
        <v>8.85</v>
      </c>
      <c r="E939" s="544">
        <v>10.199999999999999</v>
      </c>
      <c r="F939" s="512"/>
      <c r="G939" s="480"/>
      <c r="H939" s="481"/>
      <c r="I939" s="482"/>
      <c r="J939" s="483"/>
      <c r="K939" s="480"/>
      <c r="L939" s="481">
        <v>2.9443664472000637</v>
      </c>
      <c r="M939" s="482">
        <v>6000</v>
      </c>
      <c r="N939" s="483"/>
      <c r="O939" s="513"/>
      <c r="P939" s="514">
        <v>6100</v>
      </c>
      <c r="Q939" s="486">
        <v>0.67800000000000005</v>
      </c>
      <c r="R939" s="485">
        <v>0.96</v>
      </c>
      <c r="S939" s="515">
        <v>5</v>
      </c>
      <c r="T939" s="516">
        <v>54</v>
      </c>
      <c r="U939" s="490">
        <v>10</v>
      </c>
      <c r="V939" s="373"/>
      <c r="W939" s="391" t="s">
        <v>511</v>
      </c>
    </row>
    <row r="940" spans="1:23">
      <c r="A940" s="476" t="s">
        <v>1411</v>
      </c>
      <c r="B940" s="542">
        <v>30.1</v>
      </c>
      <c r="C940" s="543">
        <v>58</v>
      </c>
      <c r="D940" s="543">
        <v>8.93</v>
      </c>
      <c r="E940" s="544">
        <v>12.74</v>
      </c>
      <c r="F940" s="512"/>
      <c r="G940" s="480"/>
      <c r="H940" s="481">
        <v>7.639437268410977</v>
      </c>
      <c r="I940" s="482">
        <v>2100</v>
      </c>
      <c r="J940" s="483"/>
      <c r="K940" s="480"/>
      <c r="L940" s="481"/>
      <c r="M940" s="482"/>
      <c r="N940" s="483"/>
      <c r="O940" s="513"/>
      <c r="P940" s="514">
        <v>2666</v>
      </c>
      <c r="Q940" s="486">
        <v>0.67800000000000005</v>
      </c>
      <c r="R940" s="485">
        <v>0.61</v>
      </c>
      <c r="S940" s="515">
        <v>3.2</v>
      </c>
      <c r="T940" s="516">
        <v>43.3</v>
      </c>
      <c r="U940" s="490">
        <v>10</v>
      </c>
      <c r="V940" s="373"/>
      <c r="W940" s="391" t="s">
        <v>511</v>
      </c>
    </row>
    <row r="941" spans="1:23">
      <c r="A941" s="476" t="s">
        <v>1412</v>
      </c>
      <c r="B941" s="542">
        <v>30.1</v>
      </c>
      <c r="C941" s="543">
        <v>58</v>
      </c>
      <c r="D941" s="543">
        <v>8.93</v>
      </c>
      <c r="E941" s="544">
        <v>12.74</v>
      </c>
      <c r="F941" s="512"/>
      <c r="G941" s="480"/>
      <c r="H941" s="481"/>
      <c r="I941" s="482"/>
      <c r="J941" s="483">
        <v>5.6022539968347154</v>
      </c>
      <c r="K941" s="480">
        <v>4500</v>
      </c>
      <c r="L941" s="481"/>
      <c r="M941" s="482"/>
      <c r="N941" s="483"/>
      <c r="O941" s="513"/>
      <c r="P941" s="514">
        <v>5564</v>
      </c>
      <c r="Q941" s="486">
        <v>0.67800000000000005</v>
      </c>
      <c r="R941" s="485">
        <v>0.61</v>
      </c>
      <c r="S941" s="515">
        <v>3.2</v>
      </c>
      <c r="T941" s="516">
        <v>43.3</v>
      </c>
      <c r="U941" s="490">
        <v>10</v>
      </c>
      <c r="V941" s="373"/>
      <c r="W941" s="391" t="s">
        <v>511</v>
      </c>
    </row>
    <row r="942" spans="1:23">
      <c r="A942" s="476" t="s">
        <v>1413</v>
      </c>
      <c r="B942" s="542">
        <v>30</v>
      </c>
      <c r="C942" s="543">
        <v>65.5</v>
      </c>
      <c r="D942" s="543">
        <v>8.74</v>
      </c>
      <c r="E942" s="544">
        <v>14.37</v>
      </c>
      <c r="F942" s="512"/>
      <c r="G942" s="480"/>
      <c r="H942" s="481">
        <v>7.341021750113673</v>
      </c>
      <c r="I942" s="482">
        <v>2400</v>
      </c>
      <c r="J942" s="483"/>
      <c r="K942" s="480"/>
      <c r="L942" s="481"/>
      <c r="M942" s="482"/>
      <c r="N942" s="483"/>
      <c r="O942" s="513"/>
      <c r="P942" s="514">
        <v>3027</v>
      </c>
      <c r="Q942" s="486">
        <v>0.67800000000000005</v>
      </c>
      <c r="R942" s="485">
        <v>0.49</v>
      </c>
      <c r="S942" s="515">
        <v>2.5</v>
      </c>
      <c r="T942" s="516">
        <v>38.200000000000003</v>
      </c>
      <c r="U942" s="490">
        <v>10</v>
      </c>
      <c r="V942" s="373"/>
      <c r="W942" s="391" t="s">
        <v>511</v>
      </c>
    </row>
    <row r="943" spans="1:23">
      <c r="A943" s="476" t="s">
        <v>1414</v>
      </c>
      <c r="B943" s="542">
        <v>30</v>
      </c>
      <c r="C943" s="543">
        <v>65.5</v>
      </c>
      <c r="D943" s="543">
        <v>8.74</v>
      </c>
      <c r="E943" s="544">
        <v>14.37</v>
      </c>
      <c r="F943" s="512"/>
      <c r="G943" s="480"/>
      <c r="H943" s="481"/>
      <c r="I943" s="482"/>
      <c r="J943" s="483">
        <v>4.3692536263907114</v>
      </c>
      <c r="K943" s="480">
        <v>5300</v>
      </c>
      <c r="L943" s="481"/>
      <c r="M943" s="482"/>
      <c r="N943" s="483"/>
      <c r="O943" s="513"/>
      <c r="P943" s="514">
        <v>6316</v>
      </c>
      <c r="Q943" s="486">
        <v>0.67800000000000005</v>
      </c>
      <c r="R943" s="485">
        <v>0.49</v>
      </c>
      <c r="S943" s="515">
        <v>2.5</v>
      </c>
      <c r="T943" s="516">
        <v>38.200000000000003</v>
      </c>
      <c r="U943" s="490">
        <v>10</v>
      </c>
      <c r="V943" s="373"/>
      <c r="W943" s="391" t="s">
        <v>511</v>
      </c>
    </row>
    <row r="944" spans="1:23">
      <c r="A944" s="476" t="s">
        <v>1415</v>
      </c>
      <c r="B944" s="542">
        <v>42.2</v>
      </c>
      <c r="C944" s="543">
        <v>23.9</v>
      </c>
      <c r="D944" s="543">
        <v>11.86</v>
      </c>
      <c r="E944" s="544">
        <v>5.3</v>
      </c>
      <c r="F944" s="512"/>
      <c r="G944" s="480"/>
      <c r="H944" s="481">
        <v>11.285532328334398</v>
      </c>
      <c r="I944" s="482">
        <v>550</v>
      </c>
      <c r="J944" s="483"/>
      <c r="K944" s="480"/>
      <c r="L944" s="481"/>
      <c r="M944" s="482"/>
      <c r="N944" s="483"/>
      <c r="O944" s="513"/>
      <c r="P944" s="514">
        <v>827</v>
      </c>
      <c r="Q944" s="486">
        <v>0.93099999999999994</v>
      </c>
      <c r="R944" s="485">
        <v>3.97</v>
      </c>
      <c r="S944" s="515">
        <v>21</v>
      </c>
      <c r="T944" s="516">
        <v>139</v>
      </c>
      <c r="U944" s="490">
        <v>10</v>
      </c>
      <c r="V944" s="373"/>
      <c r="W944" s="391" t="s">
        <v>511</v>
      </c>
    </row>
    <row r="945" spans="1:23">
      <c r="A945" s="476" t="s">
        <v>1416</v>
      </c>
      <c r="B945" s="542">
        <v>42.2</v>
      </c>
      <c r="C945" s="543">
        <v>23.9</v>
      </c>
      <c r="D945" s="543">
        <v>11.86</v>
      </c>
      <c r="E945" s="544">
        <v>5.3</v>
      </c>
      <c r="F945" s="512"/>
      <c r="G945" s="480"/>
      <c r="H945" s="481"/>
      <c r="I945" s="482"/>
      <c r="J945" s="483">
        <v>11.018419137131216</v>
      </c>
      <c r="K945" s="480">
        <v>1300</v>
      </c>
      <c r="L945" s="481"/>
      <c r="M945" s="482"/>
      <c r="N945" s="483"/>
      <c r="O945" s="513"/>
      <c r="P945" s="514">
        <v>1735</v>
      </c>
      <c r="Q945" s="486">
        <v>0.93099999999999994</v>
      </c>
      <c r="R945" s="485">
        <v>3.97</v>
      </c>
      <c r="S945" s="515">
        <v>21</v>
      </c>
      <c r="T945" s="516">
        <v>139</v>
      </c>
      <c r="U945" s="490">
        <v>10</v>
      </c>
      <c r="V945" s="373"/>
      <c r="W945" s="391" t="s">
        <v>511</v>
      </c>
    </row>
    <row r="946" spans="1:23">
      <c r="A946" s="476" t="s">
        <v>1417</v>
      </c>
      <c r="B946" s="542">
        <v>42.2</v>
      </c>
      <c r="C946" s="543">
        <v>23.9</v>
      </c>
      <c r="D946" s="543">
        <v>11.86</v>
      </c>
      <c r="E946" s="544">
        <v>5.3</v>
      </c>
      <c r="F946" s="512"/>
      <c r="G946" s="480"/>
      <c r="H946" s="481"/>
      <c r="I946" s="482"/>
      <c r="J946" s="483"/>
      <c r="K946" s="480"/>
      <c r="L946" s="481">
        <v>9.9869726790164322</v>
      </c>
      <c r="M946" s="482">
        <v>2400</v>
      </c>
      <c r="N946" s="483"/>
      <c r="O946" s="513"/>
      <c r="P946" s="514">
        <v>2899</v>
      </c>
      <c r="Q946" s="486">
        <v>0.93099999999999994</v>
      </c>
      <c r="R946" s="485">
        <v>3.97</v>
      </c>
      <c r="S946" s="515">
        <v>21</v>
      </c>
      <c r="T946" s="516">
        <v>139</v>
      </c>
      <c r="U946" s="490">
        <v>10</v>
      </c>
      <c r="V946" s="373"/>
      <c r="W946" s="391" t="s">
        <v>511</v>
      </c>
    </row>
    <row r="947" spans="1:23">
      <c r="A947" s="476" t="s">
        <v>1418</v>
      </c>
      <c r="B947" s="542">
        <v>42.2</v>
      </c>
      <c r="C947" s="543">
        <v>23.9</v>
      </c>
      <c r="D947" s="543">
        <v>11.86</v>
      </c>
      <c r="E947" s="544">
        <v>5.3</v>
      </c>
      <c r="F947" s="512"/>
      <c r="G947" s="480"/>
      <c r="H947" s="481"/>
      <c r="I947" s="482"/>
      <c r="J947" s="483"/>
      <c r="K947" s="480"/>
      <c r="L947" s="481"/>
      <c r="M947" s="482"/>
      <c r="N947" s="483">
        <v>9.3846535409358971</v>
      </c>
      <c r="O947" s="513">
        <v>2900</v>
      </c>
      <c r="P947" s="514">
        <v>3479</v>
      </c>
      <c r="Q947" s="486">
        <v>0.93099999999999994</v>
      </c>
      <c r="R947" s="485">
        <v>3.97</v>
      </c>
      <c r="S947" s="515">
        <v>21</v>
      </c>
      <c r="T947" s="516">
        <v>139</v>
      </c>
      <c r="U947" s="490">
        <v>10</v>
      </c>
      <c r="V947" s="373"/>
      <c r="W947" s="391" t="s">
        <v>511</v>
      </c>
    </row>
    <row r="948" spans="1:23">
      <c r="A948" s="476" t="s">
        <v>1419</v>
      </c>
      <c r="B948" s="542">
        <v>42.3</v>
      </c>
      <c r="C948" s="543">
        <v>33</v>
      </c>
      <c r="D948" s="543">
        <v>11.84</v>
      </c>
      <c r="E948" s="544">
        <v>7.27</v>
      </c>
      <c r="F948" s="512"/>
      <c r="G948" s="480"/>
      <c r="H948" s="481">
        <v>10.742958658702936</v>
      </c>
      <c r="I948" s="482">
        <v>800</v>
      </c>
      <c r="J948" s="483"/>
      <c r="K948" s="480"/>
      <c r="L948" s="481"/>
      <c r="M948" s="482"/>
      <c r="N948" s="483"/>
      <c r="O948" s="513"/>
      <c r="P948" s="514">
        <v>1144</v>
      </c>
      <c r="Q948" s="486">
        <v>0.93099999999999994</v>
      </c>
      <c r="R948" s="485">
        <v>2.1</v>
      </c>
      <c r="S948" s="515">
        <v>11.4</v>
      </c>
      <c r="T948" s="516">
        <v>100</v>
      </c>
      <c r="U948" s="490">
        <v>10</v>
      </c>
      <c r="V948" s="373"/>
      <c r="W948" s="391" t="s">
        <v>511</v>
      </c>
    </row>
    <row r="949" spans="1:23">
      <c r="A949" s="476" t="s">
        <v>1420</v>
      </c>
      <c r="B949" s="542">
        <v>42.3</v>
      </c>
      <c r="C949" s="543">
        <v>33</v>
      </c>
      <c r="D949" s="543">
        <v>11.84</v>
      </c>
      <c r="E949" s="544">
        <v>7.27</v>
      </c>
      <c r="F949" s="512"/>
      <c r="G949" s="480"/>
      <c r="H949" s="481"/>
      <c r="I949" s="482"/>
      <c r="J949" s="483">
        <v>10.02022080068974</v>
      </c>
      <c r="K949" s="480">
        <v>1825</v>
      </c>
      <c r="L949" s="481"/>
      <c r="M949" s="482"/>
      <c r="N949" s="483"/>
      <c r="O949" s="513"/>
      <c r="P949" s="514">
        <v>2399</v>
      </c>
      <c r="Q949" s="486">
        <v>0.93099999999999994</v>
      </c>
      <c r="R949" s="485">
        <v>2.1</v>
      </c>
      <c r="S949" s="515">
        <v>11.4</v>
      </c>
      <c r="T949" s="516">
        <v>100</v>
      </c>
      <c r="U949" s="490">
        <v>10</v>
      </c>
      <c r="V949" s="373"/>
      <c r="W949" s="391" t="s">
        <v>511</v>
      </c>
    </row>
    <row r="950" spans="1:23">
      <c r="A950" s="476" t="s">
        <v>1421</v>
      </c>
      <c r="B950" s="542">
        <v>42.3</v>
      </c>
      <c r="C950" s="543">
        <v>33</v>
      </c>
      <c r="D950" s="543">
        <v>11.84</v>
      </c>
      <c r="E950" s="544">
        <v>7.27</v>
      </c>
      <c r="F950" s="512"/>
      <c r="G950" s="480"/>
      <c r="H950" s="481"/>
      <c r="I950" s="482"/>
      <c r="J950" s="483"/>
      <c r="K950" s="480"/>
      <c r="L950" s="481">
        <v>5.2661562052465376</v>
      </c>
      <c r="M950" s="482">
        <v>3400</v>
      </c>
      <c r="N950" s="483"/>
      <c r="O950" s="513"/>
      <c r="P950" s="514">
        <v>4000</v>
      </c>
      <c r="Q950" s="486">
        <v>0.93099999999999994</v>
      </c>
      <c r="R950" s="485">
        <v>2.1</v>
      </c>
      <c r="S950" s="515">
        <v>11.4</v>
      </c>
      <c r="T950" s="516">
        <v>100</v>
      </c>
      <c r="U950" s="490">
        <v>10</v>
      </c>
      <c r="V950" s="373"/>
      <c r="W950" s="391" t="s">
        <v>511</v>
      </c>
    </row>
    <row r="951" spans="1:23">
      <c r="A951" s="476" t="s">
        <v>1422</v>
      </c>
      <c r="B951" s="542">
        <v>42.3</v>
      </c>
      <c r="C951" s="543">
        <v>33</v>
      </c>
      <c r="D951" s="543">
        <v>11.84</v>
      </c>
      <c r="E951" s="544">
        <v>7.27</v>
      </c>
      <c r="F951" s="512"/>
      <c r="G951" s="480"/>
      <c r="H951" s="481"/>
      <c r="I951" s="482"/>
      <c r="J951" s="483"/>
      <c r="K951" s="480"/>
      <c r="L951" s="481"/>
      <c r="M951" s="482"/>
      <c r="N951" s="483">
        <v>6.6499920800324466</v>
      </c>
      <c r="O951" s="513">
        <v>4150</v>
      </c>
      <c r="P951" s="514">
        <v>4800</v>
      </c>
      <c r="Q951" s="486">
        <v>0.93099999999999994</v>
      </c>
      <c r="R951" s="485">
        <v>2.1</v>
      </c>
      <c r="S951" s="515">
        <v>11.4</v>
      </c>
      <c r="T951" s="516">
        <v>100</v>
      </c>
      <c r="U951" s="490">
        <v>10</v>
      </c>
      <c r="V951" s="373"/>
      <c r="W951" s="391" t="s">
        <v>511</v>
      </c>
    </row>
    <row r="952" spans="1:23">
      <c r="A952" s="476" t="s">
        <v>1423</v>
      </c>
      <c r="B952" s="542">
        <v>42.4</v>
      </c>
      <c r="C952" s="543">
        <v>37</v>
      </c>
      <c r="D952" s="543">
        <v>11.9</v>
      </c>
      <c r="E952" s="544">
        <v>8.1999999999999993</v>
      </c>
      <c r="F952" s="512"/>
      <c r="G952" s="480"/>
      <c r="H952" s="481">
        <v>10.769484482551585</v>
      </c>
      <c r="I952" s="482">
        <v>900</v>
      </c>
      <c r="J952" s="483"/>
      <c r="K952" s="480"/>
      <c r="L952" s="481"/>
      <c r="M952" s="482"/>
      <c r="N952" s="483"/>
      <c r="O952" s="513"/>
      <c r="P952" s="514">
        <v>1276</v>
      </c>
      <c r="Q952" s="486">
        <v>0.93099999999999994</v>
      </c>
      <c r="R952" s="485">
        <v>1.66</v>
      </c>
      <c r="S952" s="515">
        <v>9.1</v>
      </c>
      <c r="T952" s="516">
        <v>90</v>
      </c>
      <c r="U952" s="490">
        <v>10</v>
      </c>
      <c r="V952" s="373"/>
      <c r="W952" s="391" t="s">
        <v>511</v>
      </c>
    </row>
    <row r="953" spans="1:23">
      <c r="A953" s="476" t="s">
        <v>1424</v>
      </c>
      <c r="B953" s="542">
        <v>42.4</v>
      </c>
      <c r="C953" s="543">
        <v>37</v>
      </c>
      <c r="D953" s="543">
        <v>11.9</v>
      </c>
      <c r="E953" s="544">
        <v>8.1999999999999993</v>
      </c>
      <c r="F953" s="512"/>
      <c r="G953" s="480"/>
      <c r="H953" s="481"/>
      <c r="I953" s="482"/>
      <c r="J953" s="483">
        <v>9.8753701274580923</v>
      </c>
      <c r="K953" s="480">
        <v>2050</v>
      </c>
      <c r="L953" s="481"/>
      <c r="M953" s="482"/>
      <c r="N953" s="483"/>
      <c r="O953" s="513"/>
      <c r="P953" s="514">
        <v>2676</v>
      </c>
      <c r="Q953" s="486">
        <v>0.93099999999999994</v>
      </c>
      <c r="R953" s="485">
        <v>1.66</v>
      </c>
      <c r="S953" s="515">
        <v>9.1</v>
      </c>
      <c r="T953" s="516">
        <v>90</v>
      </c>
      <c r="U953" s="490">
        <v>10</v>
      </c>
      <c r="V953" s="373"/>
      <c r="W953" s="391" t="s">
        <v>511</v>
      </c>
    </row>
    <row r="954" spans="1:23">
      <c r="A954" s="476" t="s">
        <v>1425</v>
      </c>
      <c r="B954" s="542">
        <v>42.4</v>
      </c>
      <c r="C954" s="543">
        <v>37</v>
      </c>
      <c r="D954" s="543">
        <v>11.9</v>
      </c>
      <c r="E954" s="544">
        <v>8.1999999999999993</v>
      </c>
      <c r="F954" s="512"/>
      <c r="G954" s="480"/>
      <c r="H954" s="481"/>
      <c r="I954" s="482"/>
      <c r="J954" s="483"/>
      <c r="K954" s="480"/>
      <c r="L954" s="481">
        <v>7.4635291734146705</v>
      </c>
      <c r="M954" s="482">
        <v>3800</v>
      </c>
      <c r="N954" s="483"/>
      <c r="O954" s="513"/>
      <c r="P954" s="514">
        <v>4459</v>
      </c>
      <c r="Q954" s="486">
        <v>0.93099999999999994</v>
      </c>
      <c r="R954" s="485">
        <v>1.66</v>
      </c>
      <c r="S954" s="515">
        <v>9.1</v>
      </c>
      <c r="T954" s="516">
        <v>90</v>
      </c>
      <c r="U954" s="490">
        <v>10</v>
      </c>
      <c r="V954" s="373"/>
      <c r="W954" s="391" t="s">
        <v>511</v>
      </c>
    </row>
    <row r="955" spans="1:23">
      <c r="A955" s="476" t="s">
        <v>1426</v>
      </c>
      <c r="B955" s="542">
        <v>42.4</v>
      </c>
      <c r="C955" s="543">
        <v>37</v>
      </c>
      <c r="D955" s="543">
        <v>11.9</v>
      </c>
      <c r="E955" s="544">
        <v>8.1999999999999993</v>
      </c>
      <c r="F955" s="512"/>
      <c r="G955" s="480"/>
      <c r="H955" s="481"/>
      <c r="I955" s="482"/>
      <c r="J955" s="483"/>
      <c r="K955" s="480"/>
      <c r="L955" s="481"/>
      <c r="M955" s="482"/>
      <c r="N955" s="483">
        <v>5.2243241637149138</v>
      </c>
      <c r="O955" s="513">
        <v>4725</v>
      </c>
      <c r="P955" s="514">
        <v>5351</v>
      </c>
      <c r="Q955" s="486">
        <v>0.93099999999999994</v>
      </c>
      <c r="R955" s="485">
        <v>1.66</v>
      </c>
      <c r="S955" s="515">
        <v>9.1</v>
      </c>
      <c r="T955" s="516">
        <v>90</v>
      </c>
      <c r="U955" s="490">
        <v>10</v>
      </c>
      <c r="V955" s="373"/>
      <c r="W955" s="391" t="s">
        <v>511</v>
      </c>
    </row>
    <row r="956" spans="1:23">
      <c r="A956" s="476" t="s">
        <v>1427</v>
      </c>
      <c r="B956" s="542">
        <v>42.6</v>
      </c>
      <c r="C956" s="543">
        <v>47</v>
      </c>
      <c r="D956" s="543">
        <v>11.9</v>
      </c>
      <c r="E956" s="544">
        <v>10.24</v>
      </c>
      <c r="F956" s="512"/>
      <c r="G956" s="480"/>
      <c r="H956" s="481">
        <v>10.663381187156988</v>
      </c>
      <c r="I956" s="482">
        <v>1200</v>
      </c>
      <c r="J956" s="483"/>
      <c r="K956" s="480"/>
      <c r="L956" s="481"/>
      <c r="M956" s="482"/>
      <c r="N956" s="483"/>
      <c r="O956" s="513"/>
      <c r="P956" s="514">
        <v>1595</v>
      </c>
      <c r="Q956" s="486">
        <v>0.93099999999999994</v>
      </c>
      <c r="R956" s="485">
        <v>1.06</v>
      </c>
      <c r="S956" s="515">
        <v>5.7</v>
      </c>
      <c r="T956" s="516">
        <v>72.099999999999994</v>
      </c>
      <c r="U956" s="490">
        <v>10</v>
      </c>
      <c r="V956" s="373"/>
      <c r="W956" s="391" t="s">
        <v>511</v>
      </c>
    </row>
    <row r="957" spans="1:23">
      <c r="A957" s="476" t="s">
        <v>1428</v>
      </c>
      <c r="B957" s="542">
        <v>42.6</v>
      </c>
      <c r="C957" s="543">
        <v>47</v>
      </c>
      <c r="D957" s="543">
        <v>11.9</v>
      </c>
      <c r="E957" s="544">
        <v>10.24</v>
      </c>
      <c r="F957" s="512"/>
      <c r="G957" s="480"/>
      <c r="H957" s="481"/>
      <c r="I957" s="482"/>
      <c r="J957" s="483">
        <v>9.1956189341983965</v>
      </c>
      <c r="K957" s="480">
        <v>2700</v>
      </c>
      <c r="L957" s="481"/>
      <c r="M957" s="482"/>
      <c r="N957" s="483"/>
      <c r="O957" s="513"/>
      <c r="P957" s="514">
        <v>3338</v>
      </c>
      <c r="Q957" s="486">
        <v>0.93099999999999994</v>
      </c>
      <c r="R957" s="485">
        <v>1.06</v>
      </c>
      <c r="S957" s="515">
        <v>5.7</v>
      </c>
      <c r="T957" s="516">
        <v>72.099999999999994</v>
      </c>
      <c r="U957" s="490">
        <v>10</v>
      </c>
      <c r="V957" s="373"/>
      <c r="W957" s="391" t="s">
        <v>511</v>
      </c>
    </row>
    <row r="958" spans="1:23">
      <c r="A958" s="476" t="s">
        <v>1429</v>
      </c>
      <c r="B958" s="542">
        <v>42.6</v>
      </c>
      <c r="C958" s="543">
        <v>47</v>
      </c>
      <c r="D958" s="543">
        <v>11.9</v>
      </c>
      <c r="E958" s="544">
        <v>10.199999999999999</v>
      </c>
      <c r="F958" s="512"/>
      <c r="G958" s="480"/>
      <c r="H958" s="481"/>
      <c r="I958" s="482"/>
      <c r="J958" s="483"/>
      <c r="K958" s="480"/>
      <c r="L958" s="481">
        <v>5.0010749128257421</v>
      </c>
      <c r="M958" s="482">
        <v>4850</v>
      </c>
      <c r="N958" s="483"/>
      <c r="O958" s="513"/>
      <c r="P958" s="514">
        <v>5560</v>
      </c>
      <c r="Q958" s="486">
        <v>0.93099999999999994</v>
      </c>
      <c r="R958" s="485">
        <v>1.06</v>
      </c>
      <c r="S958" s="515">
        <v>5.7</v>
      </c>
      <c r="T958" s="516">
        <v>72.099999999999994</v>
      </c>
      <c r="U958" s="490">
        <v>10</v>
      </c>
      <c r="V958" s="373"/>
      <c r="W958" s="391" t="s">
        <v>511</v>
      </c>
    </row>
    <row r="959" spans="1:23">
      <c r="A959" s="476" t="s">
        <v>1430</v>
      </c>
      <c r="B959" s="542">
        <v>42.6</v>
      </c>
      <c r="C959" s="543">
        <v>59</v>
      </c>
      <c r="D959" s="543">
        <v>11.8</v>
      </c>
      <c r="E959" s="544">
        <v>12.7</v>
      </c>
      <c r="F959" s="512"/>
      <c r="G959" s="480"/>
      <c r="H959" s="481">
        <v>10.269407475568853</v>
      </c>
      <c r="I959" s="482">
        <v>1525</v>
      </c>
      <c r="J959" s="483"/>
      <c r="K959" s="480"/>
      <c r="L959" s="481"/>
      <c r="M959" s="482"/>
      <c r="N959" s="483"/>
      <c r="O959" s="513"/>
      <c r="P959" s="514">
        <v>2006</v>
      </c>
      <c r="Q959" s="486">
        <v>0.93099999999999994</v>
      </c>
      <c r="R959" s="485">
        <v>0.69</v>
      </c>
      <c r="S959" s="515">
        <v>3.6</v>
      </c>
      <c r="T959" s="516">
        <v>57.4</v>
      </c>
      <c r="U959" s="490">
        <v>10</v>
      </c>
      <c r="V959" s="373"/>
      <c r="W959" s="391" t="s">
        <v>511</v>
      </c>
    </row>
    <row r="960" spans="1:23">
      <c r="A960" s="476" t="s">
        <v>1431</v>
      </c>
      <c r="B960" s="542">
        <v>42.6</v>
      </c>
      <c r="C960" s="543">
        <v>59</v>
      </c>
      <c r="D960" s="543">
        <v>11.8</v>
      </c>
      <c r="E960" s="544">
        <v>12.7</v>
      </c>
      <c r="F960" s="512"/>
      <c r="G960" s="480"/>
      <c r="H960" s="481"/>
      <c r="I960" s="482"/>
      <c r="J960" s="483">
        <v>8.0747728480446916</v>
      </c>
      <c r="K960" s="480">
        <v>3400</v>
      </c>
      <c r="L960" s="481"/>
      <c r="M960" s="482"/>
      <c r="N960" s="483"/>
      <c r="O960" s="513"/>
      <c r="P960" s="514">
        <v>4193</v>
      </c>
      <c r="Q960" s="486">
        <v>0.93099999999999994</v>
      </c>
      <c r="R960" s="485">
        <v>0.69</v>
      </c>
      <c r="S960" s="515">
        <v>3.6</v>
      </c>
      <c r="T960" s="516">
        <v>57.4</v>
      </c>
      <c r="U960" s="490">
        <v>10</v>
      </c>
      <c r="V960" s="373"/>
      <c r="W960" s="391" t="s">
        <v>511</v>
      </c>
    </row>
    <row r="961" spans="1:23">
      <c r="A961" s="476" t="s">
        <v>1432</v>
      </c>
      <c r="B961" s="542">
        <v>42</v>
      </c>
      <c r="C961" s="543">
        <v>67</v>
      </c>
      <c r="D961" s="543">
        <v>11.75</v>
      </c>
      <c r="E961" s="544">
        <v>14.79</v>
      </c>
      <c r="F961" s="512"/>
      <c r="G961" s="480"/>
      <c r="H961" s="481">
        <v>9.936430230872384</v>
      </c>
      <c r="I961" s="482">
        <v>1850</v>
      </c>
      <c r="J961" s="483"/>
      <c r="K961" s="480"/>
      <c r="L961" s="481"/>
      <c r="M961" s="482"/>
      <c r="N961" s="483"/>
      <c r="O961" s="513"/>
      <c r="P961" s="514">
        <v>2347</v>
      </c>
      <c r="Q961" s="486">
        <v>0.93099999999999994</v>
      </c>
      <c r="R961" s="485">
        <v>0.51</v>
      </c>
      <c r="S961" s="515">
        <v>2.7</v>
      </c>
      <c r="T961" s="516">
        <v>49.4</v>
      </c>
      <c r="U961" s="490">
        <v>10</v>
      </c>
      <c r="V961" s="373"/>
      <c r="W961" s="391" t="s">
        <v>511</v>
      </c>
    </row>
    <row r="962" spans="1:23">
      <c r="A962" s="476" t="s">
        <v>1433</v>
      </c>
      <c r="B962" s="542">
        <v>42</v>
      </c>
      <c r="C962" s="543">
        <v>67</v>
      </c>
      <c r="D962" s="543">
        <v>11.75</v>
      </c>
      <c r="E962" s="544">
        <v>14.79</v>
      </c>
      <c r="F962" s="512"/>
      <c r="G962" s="480"/>
      <c r="H962" s="481"/>
      <c r="I962" s="482"/>
      <c r="J962" s="483">
        <v>6.7427350280639562</v>
      </c>
      <c r="K962" s="480">
        <v>4100</v>
      </c>
      <c r="L962" s="481"/>
      <c r="M962" s="482"/>
      <c r="N962" s="483"/>
      <c r="O962" s="513"/>
      <c r="P962" s="514">
        <v>4902</v>
      </c>
      <c r="Q962" s="486">
        <v>0.93099999999999994</v>
      </c>
      <c r="R962" s="485">
        <v>0.51</v>
      </c>
      <c r="S962" s="515">
        <v>2.7</v>
      </c>
      <c r="T962" s="516">
        <v>49.4</v>
      </c>
      <c r="U962" s="490">
        <v>10</v>
      </c>
      <c r="V962" s="373"/>
      <c r="W962" s="391" t="s">
        <v>511</v>
      </c>
    </row>
    <row r="963" spans="1:23">
      <c r="A963" s="476" t="s">
        <v>1434</v>
      </c>
      <c r="B963" s="542">
        <v>42</v>
      </c>
      <c r="C963" s="543">
        <v>96</v>
      </c>
      <c r="D963" s="543">
        <v>11.2</v>
      </c>
      <c r="E963" s="544">
        <v>20</v>
      </c>
      <c r="F963" s="512"/>
      <c r="G963" s="480"/>
      <c r="H963" s="481">
        <v>8.5422798546777301</v>
      </c>
      <c r="I963" s="482">
        <v>2750</v>
      </c>
      <c r="J963" s="483"/>
      <c r="K963" s="480"/>
      <c r="L963" s="481"/>
      <c r="M963" s="482"/>
      <c r="N963" s="483"/>
      <c r="O963" s="513"/>
      <c r="P963" s="514">
        <v>3324</v>
      </c>
      <c r="Q963" s="486">
        <v>0.93099999999999994</v>
      </c>
      <c r="R963" s="485">
        <v>0.28000000000000003</v>
      </c>
      <c r="S963" s="515">
        <v>1.3</v>
      </c>
      <c r="T963" s="516">
        <v>34.6</v>
      </c>
      <c r="U963" s="490">
        <v>10</v>
      </c>
      <c r="V963" s="373"/>
      <c r="W963" s="391" t="s">
        <v>511</v>
      </c>
    </row>
    <row r="964" spans="1:23">
      <c r="A964" s="476" t="s">
        <v>1435</v>
      </c>
      <c r="B964" s="542">
        <v>42</v>
      </c>
      <c r="C964" s="543">
        <v>96</v>
      </c>
      <c r="D964" s="543">
        <v>11.2</v>
      </c>
      <c r="E964" s="544">
        <v>20</v>
      </c>
      <c r="F964" s="512"/>
      <c r="G964" s="480"/>
      <c r="H964" s="481"/>
      <c r="I964" s="482"/>
      <c r="J964" s="483">
        <v>3.5388569699256727</v>
      </c>
      <c r="K964" s="480">
        <v>5100</v>
      </c>
      <c r="L964" s="481"/>
      <c r="M964" s="482"/>
      <c r="N964" s="483"/>
      <c r="O964" s="513"/>
      <c r="P964" s="514">
        <v>6937</v>
      </c>
      <c r="Q964" s="486">
        <v>0.93099999999999994</v>
      </c>
      <c r="R964" s="485">
        <v>0.28000000000000003</v>
      </c>
      <c r="S964" s="515">
        <v>1.3</v>
      </c>
      <c r="T964" s="516">
        <v>34.6</v>
      </c>
      <c r="U964" s="490">
        <v>10</v>
      </c>
      <c r="V964" s="373"/>
      <c r="W964" s="391" t="s">
        <v>511</v>
      </c>
    </row>
    <row r="965" spans="1:23">
      <c r="A965" s="476" t="s">
        <v>1436</v>
      </c>
      <c r="B965" s="542">
        <v>42.6</v>
      </c>
      <c r="C965" s="543">
        <v>105</v>
      </c>
      <c r="D965" s="543">
        <v>11</v>
      </c>
      <c r="E965" s="544">
        <v>21.1</v>
      </c>
      <c r="F965" s="512"/>
      <c r="G965" s="480"/>
      <c r="H965" s="481">
        <v>7.9793274858614645</v>
      </c>
      <c r="I965" s="482">
        <v>2950</v>
      </c>
      <c r="J965" s="483"/>
      <c r="K965" s="480"/>
      <c r="L965" s="481"/>
      <c r="M965" s="482"/>
      <c r="N965" s="483"/>
      <c r="O965" s="513"/>
      <c r="P965" s="514">
        <v>3642</v>
      </c>
      <c r="Q965" s="486">
        <v>0.93099999999999994</v>
      </c>
      <c r="R965" s="485">
        <v>0.25</v>
      </c>
      <c r="S965" s="515">
        <v>1.1000000000000001</v>
      </c>
      <c r="T965" s="516">
        <v>31.8</v>
      </c>
      <c r="U965" s="490">
        <v>10</v>
      </c>
      <c r="V965" s="373"/>
      <c r="W965" s="391" t="s">
        <v>511</v>
      </c>
    </row>
    <row r="966" spans="1:23">
      <c r="A966" s="476" t="s">
        <v>1437</v>
      </c>
      <c r="B966" s="542">
        <v>42.6</v>
      </c>
      <c r="C966" s="543">
        <v>105</v>
      </c>
      <c r="D966" s="543">
        <v>11</v>
      </c>
      <c r="E966" s="544">
        <v>21.1</v>
      </c>
      <c r="F966" s="512"/>
      <c r="G966" s="480"/>
      <c r="H966" s="481"/>
      <c r="I966" s="482"/>
      <c r="J966" s="483">
        <v>3.0300652627110845</v>
      </c>
      <c r="K966" s="480">
        <v>5200</v>
      </c>
      <c r="L966" s="481"/>
      <c r="M966" s="482"/>
      <c r="N966" s="483"/>
      <c r="O966" s="513"/>
      <c r="P966" s="514">
        <v>7600</v>
      </c>
      <c r="Q966" s="486">
        <v>0.93099999999999994</v>
      </c>
      <c r="R966" s="485">
        <v>0.25</v>
      </c>
      <c r="S966" s="515">
        <v>1.1000000000000001</v>
      </c>
      <c r="T966" s="516">
        <v>31.8</v>
      </c>
      <c r="U966" s="490">
        <v>10</v>
      </c>
      <c r="V966" s="373"/>
      <c r="W966" s="391" t="s">
        <v>511</v>
      </c>
    </row>
    <row r="967" spans="1:23">
      <c r="A967" s="476" t="s">
        <v>1438</v>
      </c>
      <c r="B967" s="542">
        <v>54.4</v>
      </c>
      <c r="C967" s="543">
        <v>25</v>
      </c>
      <c r="D967" s="543">
        <v>14.82</v>
      </c>
      <c r="E967" s="544">
        <v>5.5</v>
      </c>
      <c r="F967" s="512"/>
      <c r="G967" s="480"/>
      <c r="H967" s="481">
        <v>13.687325105903</v>
      </c>
      <c r="I967" s="482">
        <v>450</v>
      </c>
      <c r="J967" s="483"/>
      <c r="K967" s="480"/>
      <c r="L967" s="481"/>
      <c r="M967" s="482"/>
      <c r="N967" s="483"/>
      <c r="O967" s="513"/>
      <c r="P967" s="514">
        <v>685</v>
      </c>
      <c r="Q967" s="486">
        <v>1.1800000000000002</v>
      </c>
      <c r="R967" s="485">
        <v>4.08</v>
      </c>
      <c r="S967" s="515">
        <v>23</v>
      </c>
      <c r="T967" s="516">
        <v>167</v>
      </c>
      <c r="U967" s="490">
        <v>10</v>
      </c>
      <c r="V967" s="373"/>
      <c r="W967" s="391" t="s">
        <v>511</v>
      </c>
    </row>
    <row r="968" spans="1:23">
      <c r="A968" s="476" t="s">
        <v>1439</v>
      </c>
      <c r="B968" s="542">
        <v>54.4</v>
      </c>
      <c r="C968" s="543">
        <v>25</v>
      </c>
      <c r="D968" s="543">
        <v>14.82</v>
      </c>
      <c r="E968" s="544">
        <v>5.5</v>
      </c>
      <c r="F968" s="512"/>
      <c r="G968" s="480"/>
      <c r="H968" s="481"/>
      <c r="I968" s="482"/>
      <c r="J968" s="483">
        <v>13.187123856185615</v>
      </c>
      <c r="K968" s="480">
        <v>1050</v>
      </c>
      <c r="L968" s="481"/>
      <c r="M968" s="482"/>
      <c r="N968" s="483"/>
      <c r="O968" s="513"/>
      <c r="P968" s="514">
        <v>1437</v>
      </c>
      <c r="Q968" s="486">
        <v>1.1800000000000002</v>
      </c>
      <c r="R968" s="485">
        <v>4.08</v>
      </c>
      <c r="S968" s="515">
        <v>23</v>
      </c>
      <c r="T968" s="516">
        <v>167</v>
      </c>
      <c r="U968" s="490">
        <v>10</v>
      </c>
      <c r="V968" s="373"/>
      <c r="W968" s="391" t="s">
        <v>511</v>
      </c>
    </row>
    <row r="969" spans="1:23">
      <c r="A969" s="476" t="s">
        <v>1440</v>
      </c>
      <c r="B969" s="542">
        <v>54.4</v>
      </c>
      <c r="C969" s="543">
        <v>25</v>
      </c>
      <c r="D969" s="543">
        <v>14.82</v>
      </c>
      <c r="E969" s="544">
        <v>5.5</v>
      </c>
      <c r="F969" s="512"/>
      <c r="G969" s="480"/>
      <c r="H969" s="481"/>
      <c r="I969" s="482"/>
      <c r="J969" s="483"/>
      <c r="K969" s="480"/>
      <c r="L969" s="481">
        <v>12.032113697747288</v>
      </c>
      <c r="M969" s="482">
        <v>2000</v>
      </c>
      <c r="N969" s="483"/>
      <c r="O969" s="513"/>
      <c r="P969" s="514">
        <v>2400</v>
      </c>
      <c r="Q969" s="486">
        <v>1.1800000000000002</v>
      </c>
      <c r="R969" s="485">
        <v>4.08</v>
      </c>
      <c r="S969" s="515">
        <v>23</v>
      </c>
      <c r="T969" s="516">
        <v>167</v>
      </c>
      <c r="U969" s="490">
        <v>10</v>
      </c>
      <c r="V969" s="373"/>
      <c r="W969" s="391" t="s">
        <v>511</v>
      </c>
    </row>
    <row r="970" spans="1:23">
      <c r="A970" s="476" t="s">
        <v>1441</v>
      </c>
      <c r="B970" s="542">
        <v>54.4</v>
      </c>
      <c r="C970" s="543">
        <v>25</v>
      </c>
      <c r="D970" s="543">
        <v>14.82</v>
      </c>
      <c r="E970" s="544">
        <v>5.5</v>
      </c>
      <c r="F970" s="512"/>
      <c r="G970" s="480"/>
      <c r="H970" s="481"/>
      <c r="I970" s="482"/>
      <c r="J970" s="483"/>
      <c r="K970" s="480"/>
      <c r="L970" s="481"/>
      <c r="M970" s="482"/>
      <c r="N970" s="483">
        <v>11.399472798957003</v>
      </c>
      <c r="O970" s="513">
        <v>2400</v>
      </c>
      <c r="P970" s="514">
        <v>2888</v>
      </c>
      <c r="Q970" s="486">
        <v>1.1800000000000002</v>
      </c>
      <c r="R970" s="485">
        <v>4.08</v>
      </c>
      <c r="S970" s="515">
        <v>23</v>
      </c>
      <c r="T970" s="516">
        <v>167</v>
      </c>
      <c r="U970" s="490">
        <v>10</v>
      </c>
      <c r="V970" s="373"/>
      <c r="W970" s="391" t="s">
        <v>511</v>
      </c>
    </row>
    <row r="971" spans="1:23">
      <c r="A971" s="476" t="s">
        <v>1442</v>
      </c>
      <c r="B971" s="542">
        <v>53.8</v>
      </c>
      <c r="C971" s="543">
        <v>27.5</v>
      </c>
      <c r="D971" s="543">
        <v>14.9</v>
      </c>
      <c r="E971" s="544">
        <v>6.2</v>
      </c>
      <c r="F971" s="512"/>
      <c r="G971" s="480"/>
      <c r="H971" s="481">
        <v>13.641852265019601</v>
      </c>
      <c r="I971" s="482">
        <v>525</v>
      </c>
      <c r="J971" s="483"/>
      <c r="K971" s="480"/>
      <c r="L971" s="481"/>
      <c r="M971" s="482"/>
      <c r="N971" s="483"/>
      <c r="O971" s="513"/>
      <c r="P971" s="514">
        <v>772</v>
      </c>
      <c r="Q971" s="486">
        <v>1.1800000000000002</v>
      </c>
      <c r="R971" s="485">
        <v>3.2</v>
      </c>
      <c r="S971" s="515">
        <v>18</v>
      </c>
      <c r="T971" s="516">
        <v>148</v>
      </c>
      <c r="U971" s="490">
        <v>10</v>
      </c>
      <c r="V971" s="373"/>
      <c r="W971" s="391" t="s">
        <v>511</v>
      </c>
    </row>
    <row r="972" spans="1:23">
      <c r="A972" s="476" t="s">
        <v>1443</v>
      </c>
      <c r="B972" s="542">
        <v>53.8</v>
      </c>
      <c r="C972" s="543">
        <v>27.5</v>
      </c>
      <c r="D972" s="543">
        <v>14.9</v>
      </c>
      <c r="E972" s="544">
        <v>6.2</v>
      </c>
      <c r="F972" s="512"/>
      <c r="G972" s="480"/>
      <c r="H972" s="481"/>
      <c r="I972" s="482"/>
      <c r="J972" s="483">
        <v>13.130282805081366</v>
      </c>
      <c r="K972" s="480">
        <v>1200</v>
      </c>
      <c r="L972" s="481"/>
      <c r="M972" s="482"/>
      <c r="N972" s="483"/>
      <c r="O972" s="513"/>
      <c r="P972" s="514">
        <v>1618</v>
      </c>
      <c r="Q972" s="486">
        <v>1.1800000000000002</v>
      </c>
      <c r="R972" s="485">
        <v>3.2</v>
      </c>
      <c r="S972" s="515">
        <v>18</v>
      </c>
      <c r="T972" s="516">
        <v>148</v>
      </c>
      <c r="U972" s="490">
        <v>10</v>
      </c>
      <c r="V972" s="373"/>
      <c r="W972" s="391" t="s">
        <v>511</v>
      </c>
    </row>
    <row r="973" spans="1:23">
      <c r="A973" s="476" t="s">
        <v>1444</v>
      </c>
      <c r="B973" s="542">
        <v>53.8</v>
      </c>
      <c r="C973" s="543">
        <v>27.5</v>
      </c>
      <c r="D973" s="543">
        <v>14.9</v>
      </c>
      <c r="E973" s="544">
        <v>6.2</v>
      </c>
      <c r="F973" s="512"/>
      <c r="G973" s="480"/>
      <c r="H973" s="481"/>
      <c r="I973" s="482"/>
      <c r="J973" s="483"/>
      <c r="K973" s="480"/>
      <c r="L973" s="481">
        <v>11.735024470642415</v>
      </c>
      <c r="M973" s="482">
        <v>2250</v>
      </c>
      <c r="N973" s="483"/>
      <c r="O973" s="513"/>
      <c r="P973" s="514">
        <v>2704</v>
      </c>
      <c r="Q973" s="486">
        <v>1.1800000000000002</v>
      </c>
      <c r="R973" s="485">
        <v>3.2</v>
      </c>
      <c r="S973" s="515">
        <v>18</v>
      </c>
      <c r="T973" s="516">
        <v>148</v>
      </c>
      <c r="U973" s="490">
        <v>10</v>
      </c>
      <c r="V973" s="373"/>
      <c r="W973" s="391" t="s">
        <v>511</v>
      </c>
    </row>
    <row r="974" spans="1:23">
      <c r="A974" s="476" t="s">
        <v>1445</v>
      </c>
      <c r="B974" s="542">
        <v>53.8</v>
      </c>
      <c r="C974" s="543">
        <v>27.5</v>
      </c>
      <c r="D974" s="543">
        <v>14.9</v>
      </c>
      <c r="E974" s="544">
        <v>6.2</v>
      </c>
      <c r="F974" s="512"/>
      <c r="G974" s="480"/>
      <c r="H974" s="481"/>
      <c r="I974" s="482"/>
      <c r="J974" s="483"/>
      <c r="K974" s="480"/>
      <c r="L974" s="481"/>
      <c r="M974" s="482"/>
      <c r="N974" s="483">
        <v>10.92863942564348</v>
      </c>
      <c r="O974" s="513">
        <v>2700</v>
      </c>
      <c r="P974" s="514">
        <v>3245</v>
      </c>
      <c r="Q974" s="486">
        <v>1.1800000000000002</v>
      </c>
      <c r="R974" s="485">
        <v>3.2</v>
      </c>
      <c r="S974" s="515">
        <v>18</v>
      </c>
      <c r="T974" s="516">
        <v>148</v>
      </c>
      <c r="U974" s="490">
        <v>10</v>
      </c>
      <c r="V974" s="373"/>
      <c r="W974" s="391" t="s">
        <v>511</v>
      </c>
    </row>
    <row r="975" spans="1:23">
      <c r="A975" s="476" t="s">
        <v>1446</v>
      </c>
      <c r="B975" s="542">
        <v>54.4</v>
      </c>
      <c r="C975" s="543">
        <v>38.5</v>
      </c>
      <c r="D975" s="543">
        <v>15.1</v>
      </c>
      <c r="E975" s="544">
        <v>8.6300000000000008</v>
      </c>
      <c r="F975" s="512"/>
      <c r="G975" s="480"/>
      <c r="H975" s="481">
        <v>13.687325105903</v>
      </c>
      <c r="I975" s="482">
        <v>750</v>
      </c>
      <c r="J975" s="483"/>
      <c r="K975" s="480"/>
      <c r="L975" s="481"/>
      <c r="M975" s="482"/>
      <c r="N975" s="483"/>
      <c r="O975" s="513"/>
      <c r="P975" s="514">
        <v>1060</v>
      </c>
      <c r="Q975" s="486">
        <v>1.1800000000000002</v>
      </c>
      <c r="R975" s="485">
        <v>1.66</v>
      </c>
      <c r="S975" s="515">
        <v>9.6</v>
      </c>
      <c r="T975" s="516">
        <v>108</v>
      </c>
      <c r="U975" s="490">
        <v>10</v>
      </c>
      <c r="V975" s="373"/>
      <c r="W975" s="391" t="s">
        <v>511</v>
      </c>
    </row>
    <row r="976" spans="1:23">
      <c r="A976" s="476" t="s">
        <v>1447</v>
      </c>
      <c r="B976" s="542">
        <v>54.4</v>
      </c>
      <c r="C976" s="543">
        <v>38.5</v>
      </c>
      <c r="D976" s="543">
        <v>15.1</v>
      </c>
      <c r="E976" s="544">
        <v>8.6300000000000008</v>
      </c>
      <c r="F976" s="512"/>
      <c r="G976" s="480"/>
      <c r="H976" s="481"/>
      <c r="I976" s="482"/>
      <c r="J976" s="483">
        <v>12.638774892591691</v>
      </c>
      <c r="K976" s="480">
        <v>1700</v>
      </c>
      <c r="L976" s="481"/>
      <c r="M976" s="482"/>
      <c r="N976" s="483"/>
      <c r="O976" s="513"/>
      <c r="P976" s="514">
        <v>2223</v>
      </c>
      <c r="Q976" s="486">
        <v>1.1800000000000002</v>
      </c>
      <c r="R976" s="485">
        <v>1.66</v>
      </c>
      <c r="S976" s="515">
        <v>9.6</v>
      </c>
      <c r="T976" s="516">
        <v>108</v>
      </c>
      <c r="U976" s="490">
        <v>10</v>
      </c>
      <c r="V976" s="373"/>
      <c r="W976" s="391" t="s">
        <v>511</v>
      </c>
    </row>
    <row r="977" spans="1:23">
      <c r="A977" s="476" t="s">
        <v>1448</v>
      </c>
      <c r="B977" s="542">
        <v>54.4</v>
      </c>
      <c r="C977" s="543">
        <v>38.5</v>
      </c>
      <c r="D977" s="543">
        <v>15.1</v>
      </c>
      <c r="E977" s="544">
        <v>8.6300000000000008</v>
      </c>
      <c r="F977" s="512"/>
      <c r="G977" s="480"/>
      <c r="H977" s="481"/>
      <c r="I977" s="482"/>
      <c r="J977" s="483"/>
      <c r="K977" s="480"/>
      <c r="L977" s="481">
        <v>10.064655448858906</v>
      </c>
      <c r="M977" s="482">
        <v>3150</v>
      </c>
      <c r="N977" s="483"/>
      <c r="O977" s="513"/>
      <c r="P977" s="514">
        <v>3707</v>
      </c>
      <c r="Q977" s="486">
        <v>1.1800000000000002</v>
      </c>
      <c r="R977" s="485">
        <v>1.66</v>
      </c>
      <c r="S977" s="515">
        <v>9.6</v>
      </c>
      <c r="T977" s="516">
        <v>108</v>
      </c>
      <c r="U977" s="490">
        <v>10</v>
      </c>
      <c r="V977" s="373"/>
      <c r="W977" s="391" t="s">
        <v>511</v>
      </c>
    </row>
    <row r="978" spans="1:23">
      <c r="A978" s="476" t="s">
        <v>1449</v>
      </c>
      <c r="B978" s="542">
        <v>54.4</v>
      </c>
      <c r="C978" s="543">
        <v>38.5</v>
      </c>
      <c r="D978" s="543">
        <v>15.1</v>
      </c>
      <c r="E978" s="544">
        <v>8.6300000000000008</v>
      </c>
      <c r="F978" s="512"/>
      <c r="G978" s="480"/>
      <c r="H978" s="481"/>
      <c r="I978" s="482"/>
      <c r="J978" s="483"/>
      <c r="K978" s="480"/>
      <c r="L978" s="481"/>
      <c r="M978" s="482"/>
      <c r="N978" s="483">
        <v>8.0858978879934362</v>
      </c>
      <c r="O978" s="513">
        <v>3850</v>
      </c>
      <c r="P978" s="514">
        <v>4450</v>
      </c>
      <c r="Q978" s="486">
        <v>1.1800000000000002</v>
      </c>
      <c r="R978" s="485">
        <v>1.66</v>
      </c>
      <c r="S978" s="515">
        <v>9.6</v>
      </c>
      <c r="T978" s="516">
        <v>108</v>
      </c>
      <c r="U978" s="490">
        <v>10</v>
      </c>
      <c r="V978" s="373"/>
      <c r="W978" s="391" t="s">
        <v>511</v>
      </c>
    </row>
    <row r="979" spans="1:23">
      <c r="A979" s="476" t="s">
        <v>1450</v>
      </c>
      <c r="B979" s="542">
        <v>54.8</v>
      </c>
      <c r="C979" s="543">
        <v>48.5</v>
      </c>
      <c r="D979" s="543">
        <v>15</v>
      </c>
      <c r="E979" s="544">
        <v>10.7</v>
      </c>
      <c r="F979" s="512"/>
      <c r="G979" s="480"/>
      <c r="H979" s="481">
        <v>13.369015219719209</v>
      </c>
      <c r="I979" s="482">
        <v>1000</v>
      </c>
      <c r="J979" s="483"/>
      <c r="K979" s="480"/>
      <c r="L979" s="481"/>
      <c r="M979" s="482"/>
      <c r="N979" s="483"/>
      <c r="O979" s="513"/>
      <c r="P979" s="514">
        <v>1325</v>
      </c>
      <c r="Q979" s="486">
        <v>1.1800000000000002</v>
      </c>
      <c r="R979" s="485">
        <v>1.08</v>
      </c>
      <c r="S979" s="515">
        <v>6.2</v>
      </c>
      <c r="T979" s="516">
        <v>87</v>
      </c>
      <c r="U979" s="490">
        <v>10</v>
      </c>
      <c r="V979" s="373"/>
      <c r="W979" s="391" t="s">
        <v>511</v>
      </c>
    </row>
    <row r="980" spans="1:23">
      <c r="A980" s="476" t="s">
        <v>1451</v>
      </c>
      <c r="B980" s="542">
        <v>54.8</v>
      </c>
      <c r="C980" s="543">
        <v>48.5</v>
      </c>
      <c r="D980" s="543">
        <v>15</v>
      </c>
      <c r="E980" s="544">
        <v>10.7</v>
      </c>
      <c r="F980" s="512"/>
      <c r="G980" s="480"/>
      <c r="H980" s="481"/>
      <c r="I980" s="482"/>
      <c r="J980" s="483">
        <v>11.777465788800255</v>
      </c>
      <c r="K980" s="480">
        <v>2250</v>
      </c>
      <c r="L980" s="481"/>
      <c r="M980" s="482"/>
      <c r="N980" s="483"/>
      <c r="O980" s="513"/>
      <c r="P980" s="514">
        <v>2776</v>
      </c>
      <c r="Q980" s="486">
        <v>1.1800000000000002</v>
      </c>
      <c r="R980" s="485">
        <v>1.08</v>
      </c>
      <c r="S980" s="515">
        <v>6.2</v>
      </c>
      <c r="T980" s="516">
        <v>87</v>
      </c>
      <c r="U980" s="490">
        <v>10</v>
      </c>
      <c r="V980" s="373"/>
      <c r="W980" s="391" t="s">
        <v>511</v>
      </c>
    </row>
    <row r="981" spans="1:23">
      <c r="A981" s="476" t="s">
        <v>1452</v>
      </c>
      <c r="B981" s="542">
        <v>54.8</v>
      </c>
      <c r="C981" s="543">
        <v>48.5</v>
      </c>
      <c r="D981" s="543">
        <v>15</v>
      </c>
      <c r="E981" s="544">
        <v>10.7</v>
      </c>
      <c r="F981" s="512"/>
      <c r="G981" s="480"/>
      <c r="H981" s="481"/>
      <c r="I981" s="482"/>
      <c r="J981" s="483"/>
      <c r="K981" s="480"/>
      <c r="L981" s="481">
        <v>6.9376214952587638</v>
      </c>
      <c r="M981" s="482">
        <v>4150</v>
      </c>
      <c r="N981" s="483"/>
      <c r="O981" s="513"/>
      <c r="P981" s="514">
        <v>4626</v>
      </c>
      <c r="Q981" s="486">
        <v>1.1800000000000002</v>
      </c>
      <c r="R981" s="485">
        <v>1.08</v>
      </c>
      <c r="S981" s="515">
        <v>6.2</v>
      </c>
      <c r="T981" s="516">
        <v>87</v>
      </c>
      <c r="U981" s="490">
        <v>10</v>
      </c>
      <c r="V981" s="373"/>
      <c r="W981" s="391" t="s">
        <v>511</v>
      </c>
    </row>
    <row r="982" spans="1:23">
      <c r="A982" s="476" t="s">
        <v>1453</v>
      </c>
      <c r="B982" s="542">
        <v>54.8</v>
      </c>
      <c r="C982" s="543">
        <v>48.5</v>
      </c>
      <c r="D982" s="543">
        <v>15</v>
      </c>
      <c r="E982" s="544">
        <v>10.7</v>
      </c>
      <c r="F982" s="512"/>
      <c r="G982" s="480"/>
      <c r="H982" s="481"/>
      <c r="I982" s="482"/>
      <c r="J982" s="483"/>
      <c r="K982" s="480"/>
      <c r="L982" s="481"/>
      <c r="M982" s="482"/>
      <c r="N982" s="483">
        <v>4.0432128096111288</v>
      </c>
      <c r="O982" s="513">
        <v>4700</v>
      </c>
      <c r="P982" s="514">
        <v>5551</v>
      </c>
      <c r="Q982" s="486">
        <v>1.1800000000000002</v>
      </c>
      <c r="R982" s="485">
        <v>1.08</v>
      </c>
      <c r="S982" s="515">
        <v>6.2</v>
      </c>
      <c r="T982" s="516">
        <v>87</v>
      </c>
      <c r="U982" s="490">
        <v>10</v>
      </c>
      <c r="V982" s="373"/>
      <c r="W982" s="391" t="s">
        <v>511</v>
      </c>
    </row>
    <row r="983" spans="1:23">
      <c r="A983" s="476" t="s">
        <v>1454</v>
      </c>
      <c r="B983" s="542">
        <v>53.8</v>
      </c>
      <c r="C983" s="543">
        <v>62.5</v>
      </c>
      <c r="D983" s="543">
        <v>14.6</v>
      </c>
      <c r="E983" s="544">
        <v>13.8</v>
      </c>
      <c r="F983" s="512"/>
      <c r="G983" s="480"/>
      <c r="H983" s="481">
        <v>12.584608714480584</v>
      </c>
      <c r="I983" s="482">
        <v>1400</v>
      </c>
      <c r="J983" s="483"/>
      <c r="K983" s="480"/>
      <c r="L983" s="481"/>
      <c r="M983" s="482"/>
      <c r="N983" s="483"/>
      <c r="O983" s="513"/>
      <c r="P983" s="514">
        <v>1837</v>
      </c>
      <c r="Q983" s="486">
        <v>1.1800000000000002</v>
      </c>
      <c r="R983" s="485">
        <v>0.65</v>
      </c>
      <c r="S983" s="515">
        <v>3.5</v>
      </c>
      <c r="T983" s="516">
        <v>65.5</v>
      </c>
      <c r="U983" s="490">
        <v>10</v>
      </c>
      <c r="V983" s="373"/>
      <c r="W983" s="391" t="s">
        <v>511</v>
      </c>
    </row>
    <row r="984" spans="1:23">
      <c r="A984" s="476" t="s">
        <v>1455</v>
      </c>
      <c r="B984" s="542">
        <v>53.8</v>
      </c>
      <c r="C984" s="543">
        <v>62.5</v>
      </c>
      <c r="D984" s="543">
        <v>14.6</v>
      </c>
      <c r="E984" s="544">
        <v>13.8</v>
      </c>
      <c r="F984" s="512"/>
      <c r="G984" s="480"/>
      <c r="H984" s="481"/>
      <c r="I984" s="482"/>
      <c r="J984" s="483">
        <v>9.9719703688069501</v>
      </c>
      <c r="K984" s="480">
        <v>3050</v>
      </c>
      <c r="L984" s="481"/>
      <c r="M984" s="482"/>
      <c r="N984" s="483"/>
      <c r="O984" s="513"/>
      <c r="P984" s="514">
        <v>3681</v>
      </c>
      <c r="Q984" s="486">
        <v>1.1800000000000002</v>
      </c>
      <c r="R984" s="485">
        <v>0.65</v>
      </c>
      <c r="S984" s="515">
        <v>3.5</v>
      </c>
      <c r="T984" s="516">
        <v>65.5</v>
      </c>
      <c r="U984" s="490">
        <v>10</v>
      </c>
      <c r="V984" s="373"/>
      <c r="W984" s="391" t="s">
        <v>511</v>
      </c>
    </row>
    <row r="985" spans="1:23">
      <c r="A985" s="476" t="s">
        <v>1456</v>
      </c>
      <c r="B985" s="542">
        <v>53.8</v>
      </c>
      <c r="C985" s="543">
        <v>62.5</v>
      </c>
      <c r="D985" s="543">
        <v>14.6</v>
      </c>
      <c r="E985" s="544">
        <v>13.8</v>
      </c>
      <c r="F985" s="512"/>
      <c r="G985" s="480"/>
      <c r="H985" s="481"/>
      <c r="I985" s="482"/>
      <c r="J985" s="483"/>
      <c r="K985" s="480"/>
      <c r="L985" s="481">
        <v>4.5670548887239537</v>
      </c>
      <c r="M985" s="482">
        <v>4600</v>
      </c>
      <c r="N985" s="483"/>
      <c r="O985" s="513"/>
      <c r="P985" s="514">
        <v>6135</v>
      </c>
      <c r="Q985" s="486">
        <v>1.1800000000000002</v>
      </c>
      <c r="R985" s="485">
        <v>0.65</v>
      </c>
      <c r="S985" s="515">
        <v>3.5</v>
      </c>
      <c r="T985" s="516">
        <v>65.5</v>
      </c>
      <c r="U985" s="490">
        <v>10</v>
      </c>
      <c r="V985" s="373"/>
      <c r="W985" s="391" t="s">
        <v>511</v>
      </c>
    </row>
    <row r="986" spans="1:23">
      <c r="A986" s="476" t="s">
        <v>1457</v>
      </c>
      <c r="B986" s="542">
        <v>54.1</v>
      </c>
      <c r="C986" s="543">
        <v>89</v>
      </c>
      <c r="D986" s="543">
        <v>14.5</v>
      </c>
      <c r="E986" s="544">
        <v>19.399999999999999</v>
      </c>
      <c r="F986" s="512"/>
      <c r="G986" s="480"/>
      <c r="H986" s="481">
        <v>11.793381283109445</v>
      </c>
      <c r="I986" s="482">
        <v>2000</v>
      </c>
      <c r="J986" s="483"/>
      <c r="K986" s="480"/>
      <c r="L986" s="481"/>
      <c r="M986" s="482"/>
      <c r="N986" s="483"/>
      <c r="O986" s="513"/>
      <c r="P986" s="514">
        <v>2495</v>
      </c>
      <c r="Q986" s="486">
        <v>1.1800000000000002</v>
      </c>
      <c r="R986" s="485">
        <v>0.33</v>
      </c>
      <c r="S986" s="515">
        <v>1.8</v>
      </c>
      <c r="T986" s="516">
        <v>46.3</v>
      </c>
      <c r="U986" s="490">
        <v>10</v>
      </c>
      <c r="V986" s="373"/>
      <c r="W986" s="391" t="s">
        <v>511</v>
      </c>
    </row>
    <row r="987" spans="1:23">
      <c r="A987" s="476" t="s">
        <v>1458</v>
      </c>
      <c r="B987" s="542">
        <v>54.1</v>
      </c>
      <c r="C987" s="543">
        <v>89</v>
      </c>
      <c r="D987" s="543">
        <v>14.5</v>
      </c>
      <c r="E987" s="544">
        <v>19.399999999999999</v>
      </c>
      <c r="F987" s="512"/>
      <c r="G987" s="480"/>
      <c r="H987" s="481"/>
      <c r="I987" s="482"/>
      <c r="J987" s="483">
        <v>4.8481044203377346</v>
      </c>
      <c r="K987" s="480">
        <v>4550</v>
      </c>
      <c r="L987" s="481"/>
      <c r="M987" s="482"/>
      <c r="N987" s="483"/>
      <c r="O987" s="513"/>
      <c r="P987" s="514">
        <v>5206</v>
      </c>
      <c r="Q987" s="486">
        <v>1.1800000000000002</v>
      </c>
      <c r="R987" s="485">
        <v>0.33</v>
      </c>
      <c r="S987" s="515">
        <v>1.8</v>
      </c>
      <c r="T987" s="516">
        <v>46.3</v>
      </c>
      <c r="U987" s="490">
        <v>10</v>
      </c>
      <c r="V987" s="373"/>
      <c r="W987" s="391" t="s">
        <v>511</v>
      </c>
    </row>
    <row r="988" spans="1:23">
      <c r="A988" s="476" t="s">
        <v>1459</v>
      </c>
      <c r="B988" s="542">
        <v>54.5</v>
      </c>
      <c r="C988" s="543">
        <v>98</v>
      </c>
      <c r="D988" s="543">
        <v>14</v>
      </c>
      <c r="E988" s="544">
        <v>20.3</v>
      </c>
      <c r="F988" s="512"/>
      <c r="G988" s="480"/>
      <c r="H988" s="481">
        <v>11.77006323330761</v>
      </c>
      <c r="I988" s="482">
        <v>2150</v>
      </c>
      <c r="J988" s="483"/>
      <c r="K988" s="480"/>
      <c r="L988" s="481"/>
      <c r="M988" s="482"/>
      <c r="N988" s="483"/>
      <c r="O988" s="513"/>
      <c r="P988" s="514">
        <v>2701</v>
      </c>
      <c r="Q988" s="486">
        <v>1.1800000000000002</v>
      </c>
      <c r="R988" s="485">
        <v>0.3</v>
      </c>
      <c r="S988" s="515">
        <v>1.5</v>
      </c>
      <c r="T988" s="516">
        <v>42.8</v>
      </c>
      <c r="U988" s="490">
        <v>10</v>
      </c>
      <c r="V988" s="373"/>
      <c r="W988" s="391" t="s">
        <v>511</v>
      </c>
    </row>
    <row r="989" spans="1:23">
      <c r="A989" s="476" t="s">
        <v>1460</v>
      </c>
      <c r="B989" s="542">
        <v>54.5</v>
      </c>
      <c r="C989" s="543">
        <v>98</v>
      </c>
      <c r="D989" s="543">
        <v>14</v>
      </c>
      <c r="E989" s="544">
        <v>20.3</v>
      </c>
      <c r="F989" s="512"/>
      <c r="G989" s="480"/>
      <c r="H989" s="481"/>
      <c r="I989" s="482"/>
      <c r="J989" s="483">
        <v>4.8473059841683774</v>
      </c>
      <c r="K989" s="480">
        <v>4600</v>
      </c>
      <c r="L989" s="481"/>
      <c r="M989" s="482"/>
      <c r="N989" s="483"/>
      <c r="O989" s="513"/>
      <c r="P989" s="514">
        <v>5637</v>
      </c>
      <c r="Q989" s="486">
        <v>1.1800000000000002</v>
      </c>
      <c r="R989" s="485">
        <v>0.3</v>
      </c>
      <c r="S989" s="515">
        <v>1.5</v>
      </c>
      <c r="T989" s="516">
        <v>42.8</v>
      </c>
      <c r="U989" s="490">
        <v>10</v>
      </c>
      <c r="V989" s="373"/>
      <c r="W989" s="391" t="s">
        <v>511</v>
      </c>
    </row>
    <row r="990" spans="1:23">
      <c r="A990" s="476" t="s">
        <v>1461</v>
      </c>
      <c r="B990" s="542">
        <v>40.799999999999997</v>
      </c>
      <c r="C990" s="543">
        <v>21.9</v>
      </c>
      <c r="D990" s="543">
        <v>12.6</v>
      </c>
      <c r="E990" s="544">
        <v>5.41</v>
      </c>
      <c r="F990" s="512"/>
      <c r="G990" s="480"/>
      <c r="H990" s="481">
        <v>11.650141834326739</v>
      </c>
      <c r="I990" s="482">
        <v>500</v>
      </c>
      <c r="J990" s="483"/>
      <c r="K990" s="480"/>
      <c r="L990" s="481"/>
      <c r="M990" s="482"/>
      <c r="N990" s="483"/>
      <c r="O990" s="513"/>
      <c r="P990" s="514">
        <v>798</v>
      </c>
      <c r="Q990" s="486">
        <v>2.17</v>
      </c>
      <c r="R990" s="485">
        <v>4.13</v>
      </c>
      <c r="S990" s="515">
        <v>32</v>
      </c>
      <c r="T990" s="516">
        <v>144</v>
      </c>
      <c r="U990" s="490">
        <v>10</v>
      </c>
      <c r="V990" s="373"/>
      <c r="W990" s="391" t="s">
        <v>511</v>
      </c>
    </row>
    <row r="991" spans="1:23">
      <c r="A991" s="476" t="s">
        <v>1462</v>
      </c>
      <c r="B991" s="542">
        <v>40.799999999999997</v>
      </c>
      <c r="C991" s="543">
        <v>21.9</v>
      </c>
      <c r="D991" s="543">
        <v>12.6</v>
      </c>
      <c r="E991" s="544">
        <v>5.41</v>
      </c>
      <c r="F991" s="512"/>
      <c r="G991" s="480"/>
      <c r="H991" s="481"/>
      <c r="I991" s="482"/>
      <c r="J991" s="483">
        <v>11.459155902616464</v>
      </c>
      <c r="K991" s="480">
        <v>1200</v>
      </c>
      <c r="L991" s="481"/>
      <c r="M991" s="482"/>
      <c r="N991" s="483"/>
      <c r="O991" s="513"/>
      <c r="P991" s="514">
        <v>1675</v>
      </c>
      <c r="Q991" s="486">
        <v>2.17</v>
      </c>
      <c r="R991" s="485">
        <v>4.13</v>
      </c>
      <c r="S991" s="515">
        <v>32</v>
      </c>
      <c r="T991" s="516">
        <v>144</v>
      </c>
      <c r="U991" s="490">
        <v>10</v>
      </c>
      <c r="V991" s="373"/>
      <c r="W991" s="391" t="s">
        <v>511</v>
      </c>
    </row>
    <row r="992" spans="1:23">
      <c r="A992" s="476" t="s">
        <v>1463</v>
      </c>
      <c r="B992" s="542">
        <v>40.799999999999997</v>
      </c>
      <c r="C992" s="543">
        <v>21.9</v>
      </c>
      <c r="D992" s="543">
        <v>12.6</v>
      </c>
      <c r="E992" s="544">
        <v>5.41</v>
      </c>
      <c r="F992" s="512"/>
      <c r="G992" s="480"/>
      <c r="H992" s="481"/>
      <c r="I992" s="482"/>
      <c r="J992" s="483"/>
      <c r="K992" s="480"/>
      <c r="L992" s="481">
        <v>10.926171907145932</v>
      </c>
      <c r="M992" s="482">
        <v>2150</v>
      </c>
      <c r="N992" s="483"/>
      <c r="O992" s="513"/>
      <c r="P992" s="514">
        <v>2795</v>
      </c>
      <c r="Q992" s="486">
        <v>2.17</v>
      </c>
      <c r="R992" s="485">
        <v>4.13</v>
      </c>
      <c r="S992" s="515">
        <v>32</v>
      </c>
      <c r="T992" s="516">
        <v>144</v>
      </c>
      <c r="U992" s="490">
        <v>10</v>
      </c>
      <c r="V992" s="373"/>
      <c r="W992" s="391" t="s">
        <v>511</v>
      </c>
    </row>
    <row r="993" spans="1:23">
      <c r="A993" s="476" t="s">
        <v>1464</v>
      </c>
      <c r="B993" s="542">
        <v>40.799999999999997</v>
      </c>
      <c r="C993" s="543">
        <v>21.9</v>
      </c>
      <c r="D993" s="543">
        <v>12.6</v>
      </c>
      <c r="E993" s="544">
        <v>5.41</v>
      </c>
      <c r="F993" s="512"/>
      <c r="G993" s="480"/>
      <c r="H993" s="481"/>
      <c r="I993" s="482"/>
      <c r="J993" s="483"/>
      <c r="K993" s="480"/>
      <c r="L993" s="481"/>
      <c r="M993" s="482"/>
      <c r="N993" s="483">
        <v>10.504226244065093</v>
      </c>
      <c r="O993" s="513">
        <v>2700</v>
      </c>
      <c r="P993" s="514">
        <v>3353</v>
      </c>
      <c r="Q993" s="486">
        <v>2.17</v>
      </c>
      <c r="R993" s="485">
        <v>4.13</v>
      </c>
      <c r="S993" s="515">
        <v>32</v>
      </c>
      <c r="T993" s="516">
        <v>144</v>
      </c>
      <c r="U993" s="490">
        <v>10</v>
      </c>
      <c r="V993" s="373"/>
      <c r="W993" s="391" t="s">
        <v>511</v>
      </c>
    </row>
    <row r="994" spans="1:23">
      <c r="A994" s="476" t="s">
        <v>1465</v>
      </c>
      <c r="B994" s="542">
        <v>41.4</v>
      </c>
      <c r="C994" s="543">
        <v>24.5</v>
      </c>
      <c r="D994" s="543">
        <v>12.45</v>
      </c>
      <c r="E994" s="544">
        <v>6.1</v>
      </c>
      <c r="F994" s="512"/>
      <c r="G994" s="480"/>
      <c r="H994" s="481">
        <v>11.632779476898532</v>
      </c>
      <c r="I994" s="482">
        <v>550</v>
      </c>
      <c r="J994" s="483"/>
      <c r="K994" s="480"/>
      <c r="L994" s="481"/>
      <c r="M994" s="482"/>
      <c r="N994" s="483"/>
      <c r="O994" s="513"/>
      <c r="P994" s="514">
        <v>901</v>
      </c>
      <c r="Q994" s="486">
        <v>2.17</v>
      </c>
      <c r="R994" s="485">
        <v>3.3</v>
      </c>
      <c r="S994" s="515">
        <v>25</v>
      </c>
      <c r="T994" s="516">
        <v>127</v>
      </c>
      <c r="U994" s="490">
        <v>10</v>
      </c>
      <c r="V994" s="373"/>
      <c r="W994" s="391" t="s">
        <v>511</v>
      </c>
    </row>
    <row r="995" spans="1:23">
      <c r="A995" s="476" t="s">
        <v>1466</v>
      </c>
      <c r="B995" s="542">
        <v>41.4</v>
      </c>
      <c r="C995" s="543">
        <v>24.5</v>
      </c>
      <c r="D995" s="543">
        <v>12.45</v>
      </c>
      <c r="E995" s="544">
        <v>6.1</v>
      </c>
      <c r="F995" s="512"/>
      <c r="G995" s="480"/>
      <c r="H995" s="481"/>
      <c r="I995" s="482"/>
      <c r="J995" s="483">
        <v>11.275515583664278</v>
      </c>
      <c r="K995" s="480">
        <v>1300</v>
      </c>
      <c r="L995" s="481"/>
      <c r="M995" s="482"/>
      <c r="N995" s="483"/>
      <c r="O995" s="513"/>
      <c r="P995" s="514">
        <v>1892</v>
      </c>
      <c r="Q995" s="486">
        <v>2.17</v>
      </c>
      <c r="R995" s="485">
        <v>3.3</v>
      </c>
      <c r="S995" s="515">
        <v>25</v>
      </c>
      <c r="T995" s="516">
        <v>127</v>
      </c>
      <c r="U995" s="490">
        <v>10</v>
      </c>
      <c r="V995" s="373"/>
      <c r="W995" s="391" t="s">
        <v>511</v>
      </c>
    </row>
    <row r="996" spans="1:23">
      <c r="A996" s="476" t="s">
        <v>1467</v>
      </c>
      <c r="B996" s="542">
        <v>41.4</v>
      </c>
      <c r="C996" s="543">
        <v>24.5</v>
      </c>
      <c r="D996" s="543">
        <v>12.45</v>
      </c>
      <c r="E996" s="544">
        <v>6.1</v>
      </c>
      <c r="F996" s="512"/>
      <c r="G996" s="480"/>
      <c r="H996" s="481"/>
      <c r="I996" s="482"/>
      <c r="J996" s="483"/>
      <c r="K996" s="480"/>
      <c r="L996" s="481">
        <v>10.646449810232319</v>
      </c>
      <c r="M996" s="482">
        <v>2350</v>
      </c>
      <c r="N996" s="483"/>
      <c r="O996" s="513"/>
      <c r="P996" s="514">
        <v>3153</v>
      </c>
      <c r="Q996" s="486">
        <v>2.17</v>
      </c>
      <c r="R996" s="485">
        <v>3.3</v>
      </c>
      <c r="S996" s="515">
        <v>25</v>
      </c>
      <c r="T996" s="516">
        <v>127</v>
      </c>
      <c r="U996" s="490">
        <v>10</v>
      </c>
      <c r="V996" s="373"/>
      <c r="W996" s="391" t="s">
        <v>511</v>
      </c>
    </row>
    <row r="997" spans="1:23">
      <c r="A997" s="476" t="s">
        <v>1468</v>
      </c>
      <c r="B997" s="542">
        <v>41.4</v>
      </c>
      <c r="C997" s="543">
        <v>24.5</v>
      </c>
      <c r="D997" s="543">
        <v>12.45</v>
      </c>
      <c r="E997" s="544">
        <v>6.1</v>
      </c>
      <c r="F997" s="512"/>
      <c r="G997" s="480"/>
      <c r="H997" s="481"/>
      <c r="I997" s="482"/>
      <c r="J997" s="483"/>
      <c r="K997" s="480"/>
      <c r="L997" s="481"/>
      <c r="M997" s="482"/>
      <c r="N997" s="483">
        <v>10.207868763825012</v>
      </c>
      <c r="O997" s="513">
        <v>2900</v>
      </c>
      <c r="P997" s="514">
        <v>3783</v>
      </c>
      <c r="Q997" s="486">
        <v>2.17</v>
      </c>
      <c r="R997" s="485">
        <v>3.3</v>
      </c>
      <c r="S997" s="515">
        <v>25</v>
      </c>
      <c r="T997" s="516">
        <v>127</v>
      </c>
      <c r="U997" s="490">
        <v>10</v>
      </c>
      <c r="V997" s="373"/>
      <c r="W997" s="391" t="s">
        <v>511</v>
      </c>
    </row>
    <row r="998" spans="1:23">
      <c r="A998" s="476" t="s">
        <v>1469</v>
      </c>
      <c r="B998" s="542">
        <v>40.799999999999997</v>
      </c>
      <c r="C998" s="543">
        <v>34.700000000000003</v>
      </c>
      <c r="D998" s="543">
        <v>12.45</v>
      </c>
      <c r="E998" s="544">
        <v>8.32</v>
      </c>
      <c r="F998" s="512"/>
      <c r="G998" s="480"/>
      <c r="H998" s="481">
        <v>11.482589759268032</v>
      </c>
      <c r="I998" s="482">
        <v>815</v>
      </c>
      <c r="J998" s="483"/>
      <c r="K998" s="480"/>
      <c r="L998" s="481"/>
      <c r="M998" s="482"/>
      <c r="N998" s="483"/>
      <c r="O998" s="513"/>
      <c r="P998" s="514">
        <v>1242</v>
      </c>
      <c r="Q998" s="486">
        <v>2.17</v>
      </c>
      <c r="R998" s="485">
        <v>1.75</v>
      </c>
      <c r="S998" s="515">
        <v>13.4</v>
      </c>
      <c r="T998" s="516">
        <v>93</v>
      </c>
      <c r="U998" s="490">
        <v>10</v>
      </c>
      <c r="V998" s="373"/>
      <c r="W998" s="391" t="s">
        <v>511</v>
      </c>
    </row>
    <row r="999" spans="1:23">
      <c r="A999" s="476" t="s">
        <v>1470</v>
      </c>
      <c r="B999" s="542">
        <v>40.799999999999997</v>
      </c>
      <c r="C999" s="543">
        <v>34.700000000000003</v>
      </c>
      <c r="D999" s="543">
        <v>12.45</v>
      </c>
      <c r="E999" s="544">
        <v>8.32</v>
      </c>
      <c r="F999" s="512"/>
      <c r="G999" s="480"/>
      <c r="H999" s="481"/>
      <c r="I999" s="482"/>
      <c r="J999" s="483">
        <v>10.976501238239955</v>
      </c>
      <c r="K999" s="480">
        <v>1840</v>
      </c>
      <c r="L999" s="481"/>
      <c r="M999" s="482"/>
      <c r="N999" s="483"/>
      <c r="O999" s="513"/>
      <c r="P999" s="514">
        <v>2600</v>
      </c>
      <c r="Q999" s="486">
        <v>2.17</v>
      </c>
      <c r="R999" s="485">
        <v>1.75</v>
      </c>
      <c r="S999" s="515">
        <v>13.4</v>
      </c>
      <c r="T999" s="516">
        <v>93</v>
      </c>
      <c r="U999" s="490">
        <v>10</v>
      </c>
      <c r="V999" s="373"/>
      <c r="W999" s="391" t="s">
        <v>511</v>
      </c>
    </row>
    <row r="1000" spans="1:23">
      <c r="A1000" s="476" t="s">
        <v>1471</v>
      </c>
      <c r="B1000" s="542">
        <v>40.799999999999997</v>
      </c>
      <c r="C1000" s="543">
        <v>34.700000000000003</v>
      </c>
      <c r="D1000" s="543">
        <v>12.45</v>
      </c>
      <c r="E1000" s="544">
        <v>8.32</v>
      </c>
      <c r="F1000" s="512"/>
      <c r="G1000" s="480"/>
      <c r="H1000" s="481"/>
      <c r="I1000" s="482"/>
      <c r="J1000" s="483"/>
      <c r="K1000" s="480"/>
      <c r="L1000" s="481">
        <v>9.6876921882023268</v>
      </c>
      <c r="M1000" s="482">
        <v>3450</v>
      </c>
      <c r="N1000" s="483"/>
      <c r="O1000" s="513"/>
      <c r="P1000" s="514">
        <v>4334</v>
      </c>
      <c r="Q1000" s="486">
        <v>2.17</v>
      </c>
      <c r="R1000" s="485">
        <v>1.75</v>
      </c>
      <c r="S1000" s="515">
        <v>13.4</v>
      </c>
      <c r="T1000" s="516">
        <v>93</v>
      </c>
      <c r="U1000" s="490">
        <v>10</v>
      </c>
      <c r="V1000" s="373"/>
      <c r="W1000" s="391" t="s">
        <v>511</v>
      </c>
    </row>
    <row r="1001" spans="1:23">
      <c r="A1001" s="476" t="s">
        <v>1472</v>
      </c>
      <c r="B1001" s="542">
        <v>40.799999999999997</v>
      </c>
      <c r="C1001" s="543">
        <v>34.700000000000003</v>
      </c>
      <c r="D1001" s="543">
        <v>12.45</v>
      </c>
      <c r="E1001" s="544">
        <v>8.32</v>
      </c>
      <c r="F1001" s="512"/>
      <c r="G1001" s="480"/>
      <c r="H1001" s="481"/>
      <c r="I1001" s="482"/>
      <c r="J1001" s="483"/>
      <c r="K1001" s="480"/>
      <c r="L1001" s="481"/>
      <c r="M1001" s="482"/>
      <c r="N1001" s="483">
        <v>8.8330993416001924</v>
      </c>
      <c r="O1001" s="513">
        <v>4200</v>
      </c>
      <c r="P1001" s="514">
        <v>5201</v>
      </c>
      <c r="Q1001" s="486">
        <v>2.17</v>
      </c>
      <c r="R1001" s="485">
        <v>1.75</v>
      </c>
      <c r="S1001" s="515">
        <v>13.4</v>
      </c>
      <c r="T1001" s="516">
        <v>93</v>
      </c>
      <c r="U1001" s="490">
        <v>10</v>
      </c>
      <c r="V1001" s="373"/>
      <c r="W1001" s="391" t="s">
        <v>511</v>
      </c>
    </row>
    <row r="1002" spans="1:23">
      <c r="A1002" s="476" t="s">
        <v>1473</v>
      </c>
      <c r="B1002" s="542">
        <v>41.2</v>
      </c>
      <c r="C1002" s="543">
        <v>43.5</v>
      </c>
      <c r="D1002" s="543">
        <v>12.65</v>
      </c>
      <c r="E1002" s="544">
        <v>10.57</v>
      </c>
      <c r="F1002" s="512"/>
      <c r="G1002" s="480"/>
      <c r="H1002" s="481">
        <v>11.589373583328015</v>
      </c>
      <c r="I1002" s="482">
        <v>1100</v>
      </c>
      <c r="J1002" s="483"/>
      <c r="K1002" s="480"/>
      <c r="L1002" s="481"/>
      <c r="M1002" s="482"/>
      <c r="N1002" s="483"/>
      <c r="O1002" s="513"/>
      <c r="P1002" s="514">
        <v>1556</v>
      </c>
      <c r="Q1002" s="486">
        <v>2.17</v>
      </c>
      <c r="R1002" s="485">
        <v>1.08</v>
      </c>
      <c r="S1002" s="515">
        <v>8.5</v>
      </c>
      <c r="T1002" s="516">
        <v>74</v>
      </c>
      <c r="U1002" s="490">
        <v>10</v>
      </c>
      <c r="V1002" s="373"/>
      <c r="W1002" s="391" t="s">
        <v>511</v>
      </c>
    </row>
    <row r="1003" spans="1:23">
      <c r="A1003" s="476" t="s">
        <v>1474</v>
      </c>
      <c r="B1003" s="542">
        <v>41.2</v>
      </c>
      <c r="C1003" s="543">
        <v>43.5</v>
      </c>
      <c r="D1003" s="543">
        <v>12.65</v>
      </c>
      <c r="E1003" s="544">
        <v>10.57</v>
      </c>
      <c r="F1003" s="512"/>
      <c r="G1003" s="480"/>
      <c r="H1003" s="481"/>
      <c r="I1003" s="482"/>
      <c r="J1003" s="483">
        <v>10.757574928986886</v>
      </c>
      <c r="K1003" s="480">
        <v>2450</v>
      </c>
      <c r="L1003" s="481"/>
      <c r="M1003" s="482"/>
      <c r="N1003" s="483"/>
      <c r="O1003" s="513"/>
      <c r="P1003" s="514">
        <v>3252</v>
      </c>
      <c r="Q1003" s="486">
        <v>2.17</v>
      </c>
      <c r="R1003" s="485">
        <v>1.08</v>
      </c>
      <c r="S1003" s="515">
        <v>8.5</v>
      </c>
      <c r="T1003" s="516">
        <v>74</v>
      </c>
      <c r="U1003" s="490">
        <v>10</v>
      </c>
      <c r="V1003" s="373"/>
      <c r="W1003" s="391" t="s">
        <v>511</v>
      </c>
    </row>
    <row r="1004" spans="1:23">
      <c r="A1004" s="476" t="s">
        <v>1475</v>
      </c>
      <c r="B1004" s="542">
        <v>41.2</v>
      </c>
      <c r="C1004" s="543">
        <v>43.5</v>
      </c>
      <c r="D1004" s="543">
        <v>12.65</v>
      </c>
      <c r="E1004" s="544">
        <v>10.57</v>
      </c>
      <c r="F1004" s="512"/>
      <c r="G1004" s="480"/>
      <c r="H1004" s="481"/>
      <c r="I1004" s="482"/>
      <c r="J1004" s="483"/>
      <c r="K1004" s="480"/>
      <c r="L1004" s="481">
        <v>8.4999233343583658</v>
      </c>
      <c r="M1004" s="482">
        <v>4550</v>
      </c>
      <c r="N1004" s="483"/>
      <c r="O1004" s="513"/>
      <c r="P1004" s="514">
        <v>5420</v>
      </c>
      <c r="Q1004" s="486">
        <v>2.17</v>
      </c>
      <c r="R1004" s="485">
        <v>1.08</v>
      </c>
      <c r="S1004" s="515">
        <v>8.5</v>
      </c>
      <c r="T1004" s="516">
        <v>74</v>
      </c>
      <c r="U1004" s="490">
        <v>10</v>
      </c>
      <c r="V1004" s="373"/>
      <c r="W1004" s="391" t="s">
        <v>511</v>
      </c>
    </row>
    <row r="1005" spans="1:23">
      <c r="A1005" s="476" t="s">
        <v>1476</v>
      </c>
      <c r="B1005" s="542">
        <v>41.2</v>
      </c>
      <c r="C1005" s="543">
        <v>43.5</v>
      </c>
      <c r="D1005" s="543">
        <v>12.65</v>
      </c>
      <c r="E1005" s="544">
        <v>10.57</v>
      </c>
      <c r="F1005" s="512"/>
      <c r="G1005" s="480"/>
      <c r="H1005" s="481"/>
      <c r="I1005" s="482"/>
      <c r="J1005" s="483"/>
      <c r="K1005" s="480"/>
      <c r="L1005" s="481"/>
      <c r="M1005" s="482"/>
      <c r="N1005" s="483">
        <v>6.1741141716683536</v>
      </c>
      <c r="O1005" s="513">
        <v>5800</v>
      </c>
      <c r="P1005" s="514">
        <v>6505</v>
      </c>
      <c r="Q1005" s="486">
        <v>2.17</v>
      </c>
      <c r="R1005" s="485">
        <v>1.08</v>
      </c>
      <c r="S1005" s="515">
        <v>8.5</v>
      </c>
      <c r="T1005" s="516">
        <v>74</v>
      </c>
      <c r="U1005" s="490">
        <v>10</v>
      </c>
      <c r="V1005" s="373"/>
      <c r="W1005" s="391" t="s">
        <v>511</v>
      </c>
    </row>
    <row r="1006" spans="1:23">
      <c r="A1006" s="476" t="s">
        <v>1477</v>
      </c>
      <c r="B1006" s="542">
        <v>41.1</v>
      </c>
      <c r="C1006" s="543">
        <v>55.4</v>
      </c>
      <c r="D1006" s="543">
        <v>12.2</v>
      </c>
      <c r="E1006" s="544">
        <v>12.8</v>
      </c>
      <c r="F1006" s="512"/>
      <c r="G1006" s="480"/>
      <c r="H1006" s="481">
        <v>10.777063289365486</v>
      </c>
      <c r="I1006" s="482">
        <v>1400</v>
      </c>
      <c r="J1006" s="483"/>
      <c r="K1006" s="480"/>
      <c r="L1006" s="481"/>
      <c r="M1006" s="482"/>
      <c r="N1006" s="483"/>
      <c r="O1006" s="513"/>
      <c r="P1006" s="514">
        <v>1996</v>
      </c>
      <c r="Q1006" s="486">
        <v>2.17</v>
      </c>
      <c r="R1006" s="485">
        <v>0.74</v>
      </c>
      <c r="S1006" s="515">
        <v>5.4</v>
      </c>
      <c r="T1006" s="516">
        <v>57.8</v>
      </c>
      <c r="U1006" s="490">
        <v>10</v>
      </c>
      <c r="V1006" s="373"/>
      <c r="W1006" s="391" t="s">
        <v>511</v>
      </c>
    </row>
    <row r="1007" spans="1:23">
      <c r="A1007" s="476" t="s">
        <v>1478</v>
      </c>
      <c r="B1007" s="542">
        <v>41.1</v>
      </c>
      <c r="C1007" s="543">
        <v>55.4</v>
      </c>
      <c r="D1007" s="543">
        <v>12.2</v>
      </c>
      <c r="E1007" s="544">
        <v>12.8</v>
      </c>
      <c r="F1007" s="512"/>
      <c r="G1007" s="480"/>
      <c r="H1007" s="481"/>
      <c r="I1007" s="482"/>
      <c r="J1007" s="483">
        <v>9.5955028593145926</v>
      </c>
      <c r="K1007" s="480">
        <v>3100</v>
      </c>
      <c r="L1007" s="481"/>
      <c r="M1007" s="482"/>
      <c r="N1007" s="483"/>
      <c r="O1007" s="513"/>
      <c r="P1007" s="514">
        <v>4166</v>
      </c>
      <c r="Q1007" s="486">
        <v>2.17</v>
      </c>
      <c r="R1007" s="485">
        <v>0.74</v>
      </c>
      <c r="S1007" s="515">
        <v>5.4</v>
      </c>
      <c r="T1007" s="516">
        <v>57.8</v>
      </c>
      <c r="U1007" s="490">
        <v>10</v>
      </c>
      <c r="V1007" s="373"/>
      <c r="W1007" s="391" t="s">
        <v>511</v>
      </c>
    </row>
    <row r="1008" spans="1:23">
      <c r="A1008" s="476" t="s">
        <v>1479</v>
      </c>
      <c r="B1008" s="542">
        <v>41.1</v>
      </c>
      <c r="C1008" s="543">
        <v>55.4</v>
      </c>
      <c r="D1008" s="543">
        <v>12.2</v>
      </c>
      <c r="E1008" s="544">
        <v>12.8</v>
      </c>
      <c r="F1008" s="512"/>
      <c r="G1008" s="480"/>
      <c r="H1008" s="481"/>
      <c r="I1008" s="482"/>
      <c r="J1008" s="483"/>
      <c r="K1008" s="480"/>
      <c r="L1008" s="481">
        <v>5.1268764455012183</v>
      </c>
      <c r="M1008" s="482">
        <v>6100</v>
      </c>
      <c r="N1008" s="483"/>
      <c r="O1008" s="513"/>
      <c r="P1008" s="514">
        <v>6943</v>
      </c>
      <c r="Q1008" s="486">
        <v>2.17</v>
      </c>
      <c r="R1008" s="485">
        <v>0.74</v>
      </c>
      <c r="S1008" s="515">
        <v>5.4</v>
      </c>
      <c r="T1008" s="516">
        <v>57.8</v>
      </c>
      <c r="U1008" s="490">
        <v>10</v>
      </c>
      <c r="V1008" s="373"/>
      <c r="W1008" s="391" t="s">
        <v>511</v>
      </c>
    </row>
    <row r="1009" spans="1:23">
      <c r="A1009" s="476" t="s">
        <v>1480</v>
      </c>
      <c r="B1009" s="542">
        <v>41.1</v>
      </c>
      <c r="C1009" s="543">
        <v>62.1</v>
      </c>
      <c r="D1009" s="543">
        <v>12.4</v>
      </c>
      <c r="E1009" s="544">
        <v>14.58</v>
      </c>
      <c r="F1009" s="512"/>
      <c r="G1009" s="480"/>
      <c r="H1009" s="481">
        <v>11.071215728829969</v>
      </c>
      <c r="I1009" s="482">
        <v>1600</v>
      </c>
      <c r="J1009" s="483"/>
      <c r="K1009" s="480"/>
      <c r="L1009" s="481"/>
      <c r="M1009" s="482"/>
      <c r="N1009" s="483"/>
      <c r="O1009" s="513"/>
      <c r="P1009" s="514">
        <v>2288</v>
      </c>
      <c r="Q1009" s="486">
        <v>2.17</v>
      </c>
      <c r="R1009" s="485">
        <v>0.56999999999999995</v>
      </c>
      <c r="S1009" s="515">
        <v>4.4000000000000004</v>
      </c>
      <c r="T1009" s="516">
        <v>52.6</v>
      </c>
      <c r="U1009" s="490">
        <v>10</v>
      </c>
      <c r="V1009" s="373"/>
      <c r="W1009" s="391" t="s">
        <v>511</v>
      </c>
    </row>
    <row r="1010" spans="1:23">
      <c r="A1010" s="476" t="s">
        <v>1481</v>
      </c>
      <c r="B1010" s="542">
        <v>41.1</v>
      </c>
      <c r="C1010" s="543">
        <v>62.1</v>
      </c>
      <c r="D1010" s="543">
        <v>12.4</v>
      </c>
      <c r="E1010" s="544">
        <v>14.58</v>
      </c>
      <c r="F1010" s="512"/>
      <c r="G1010" s="480"/>
      <c r="H1010" s="481"/>
      <c r="I1010" s="482"/>
      <c r="J1010" s="483">
        <v>9.4962449378164226</v>
      </c>
      <c r="K1010" s="480">
        <v>3600</v>
      </c>
      <c r="L1010" s="481"/>
      <c r="M1010" s="482"/>
      <c r="N1010" s="483"/>
      <c r="O1010" s="513"/>
      <c r="P1010" s="514">
        <v>4576</v>
      </c>
      <c r="Q1010" s="486">
        <v>2.17</v>
      </c>
      <c r="R1010" s="485">
        <v>0.56999999999999995</v>
      </c>
      <c r="S1010" s="515">
        <v>4.4000000000000004</v>
      </c>
      <c r="T1010" s="516">
        <v>52.6</v>
      </c>
      <c r="U1010" s="490">
        <v>10</v>
      </c>
      <c r="V1010" s="373"/>
      <c r="W1010" s="391" t="s">
        <v>511</v>
      </c>
    </row>
    <row r="1011" spans="1:23">
      <c r="A1011" s="476" t="s">
        <v>1482</v>
      </c>
      <c r="B1011" s="542">
        <v>41.1</v>
      </c>
      <c r="C1011" s="543">
        <v>62.1</v>
      </c>
      <c r="D1011" s="543">
        <v>12.4</v>
      </c>
      <c r="E1011" s="544">
        <v>14.58</v>
      </c>
      <c r="F1011" s="512"/>
      <c r="G1011" s="480"/>
      <c r="H1011" s="481"/>
      <c r="I1011" s="482"/>
      <c r="J1011" s="483"/>
      <c r="K1011" s="480"/>
      <c r="L1011" s="481">
        <v>3.7039695846841094</v>
      </c>
      <c r="M1011" s="482">
        <v>6600</v>
      </c>
      <c r="N1011" s="483"/>
      <c r="O1011" s="513"/>
      <c r="P1011" s="514">
        <v>7200</v>
      </c>
      <c r="Q1011" s="486">
        <v>2.17</v>
      </c>
      <c r="R1011" s="485">
        <v>0.56999999999999995</v>
      </c>
      <c r="S1011" s="515">
        <v>4.4000000000000004</v>
      </c>
      <c r="T1011" s="516">
        <v>52.6</v>
      </c>
      <c r="U1011" s="490">
        <v>10</v>
      </c>
      <c r="V1011" s="373"/>
      <c r="W1011" s="391" t="s">
        <v>511</v>
      </c>
    </row>
    <row r="1012" spans="1:23">
      <c r="A1012" s="476" t="s">
        <v>1483</v>
      </c>
      <c r="B1012" s="542">
        <v>41.2</v>
      </c>
      <c r="C1012" s="543">
        <v>87.4</v>
      </c>
      <c r="D1012" s="543">
        <v>12.4</v>
      </c>
      <c r="E1012" s="544">
        <v>20.100000000000001</v>
      </c>
      <c r="F1012" s="512"/>
      <c r="G1012" s="480"/>
      <c r="H1012" s="481">
        <v>10.605814505613111</v>
      </c>
      <c r="I1012" s="482">
        <v>2350</v>
      </c>
      <c r="J1012" s="483"/>
      <c r="K1012" s="480"/>
      <c r="L1012" s="481"/>
      <c r="M1012" s="482"/>
      <c r="N1012" s="483"/>
      <c r="O1012" s="513"/>
      <c r="P1012" s="514">
        <v>3026</v>
      </c>
      <c r="Q1012" s="486">
        <v>2.17</v>
      </c>
      <c r="R1012" s="485">
        <v>0.3</v>
      </c>
      <c r="S1012" s="515">
        <v>2.2000000000000002</v>
      </c>
      <c r="T1012" s="516">
        <v>38.1</v>
      </c>
      <c r="U1012" s="490">
        <v>10</v>
      </c>
      <c r="V1012" s="373"/>
      <c r="W1012" s="391" t="s">
        <v>511</v>
      </c>
    </row>
    <row r="1013" spans="1:23">
      <c r="A1013" s="476" t="s">
        <v>1484</v>
      </c>
      <c r="B1013" s="542">
        <v>41.2</v>
      </c>
      <c r="C1013" s="543">
        <v>87.4</v>
      </c>
      <c r="D1013" s="543">
        <v>12.4</v>
      </c>
      <c r="E1013" s="544">
        <v>20.100000000000001</v>
      </c>
      <c r="F1013" s="512"/>
      <c r="G1013" s="480"/>
      <c r="H1013" s="481"/>
      <c r="I1013" s="482"/>
      <c r="J1013" s="483">
        <v>7.1259373576805212</v>
      </c>
      <c r="K1013" s="480">
        <v>5300</v>
      </c>
      <c r="L1013" s="481"/>
      <c r="M1013" s="482"/>
      <c r="N1013" s="483"/>
      <c r="O1013" s="513"/>
      <c r="P1013" s="514">
        <v>6316</v>
      </c>
      <c r="Q1013" s="486">
        <v>2.17</v>
      </c>
      <c r="R1013" s="485">
        <v>0.3</v>
      </c>
      <c r="S1013" s="515">
        <v>2.2000000000000002</v>
      </c>
      <c r="T1013" s="516">
        <v>38.1</v>
      </c>
      <c r="U1013" s="490">
        <v>10</v>
      </c>
      <c r="V1013" s="373"/>
      <c r="W1013" s="391" t="s">
        <v>511</v>
      </c>
    </row>
    <row r="1014" spans="1:23">
      <c r="A1014" s="476" t="s">
        <v>1485</v>
      </c>
      <c r="B1014" s="542">
        <v>41.4</v>
      </c>
      <c r="C1014" s="543">
        <v>98</v>
      </c>
      <c r="D1014" s="543">
        <v>12.2</v>
      </c>
      <c r="E1014" s="544">
        <v>21.2</v>
      </c>
      <c r="F1014" s="512"/>
      <c r="G1014" s="480"/>
      <c r="H1014" s="481">
        <v>10.313240312354818</v>
      </c>
      <c r="I1014" s="482">
        <v>2500</v>
      </c>
      <c r="J1014" s="483"/>
      <c r="K1014" s="480"/>
      <c r="L1014" s="481"/>
      <c r="M1014" s="482"/>
      <c r="N1014" s="483"/>
      <c r="O1014" s="513"/>
      <c r="P1014" s="514">
        <v>3237</v>
      </c>
      <c r="Q1014" s="486">
        <v>2.17</v>
      </c>
      <c r="R1014" s="485">
        <v>0.27</v>
      </c>
      <c r="S1014" s="515">
        <v>1.6</v>
      </c>
      <c r="T1014" s="516">
        <v>35.700000000000003</v>
      </c>
      <c r="U1014" s="490">
        <v>10</v>
      </c>
      <c r="V1014" s="373"/>
      <c r="W1014" s="391" t="s">
        <v>511</v>
      </c>
    </row>
    <row r="1015" spans="1:23">
      <c r="A1015" s="476" t="s">
        <v>1486</v>
      </c>
      <c r="B1015" s="542">
        <v>41.4</v>
      </c>
      <c r="C1015" s="543">
        <v>98</v>
      </c>
      <c r="D1015" s="543">
        <v>12.2</v>
      </c>
      <c r="E1015" s="544">
        <v>21.2</v>
      </c>
      <c r="F1015" s="512"/>
      <c r="G1015" s="480"/>
      <c r="H1015" s="481"/>
      <c r="I1015" s="482"/>
      <c r="J1015" s="483">
        <v>6.3605136185653901</v>
      </c>
      <c r="K1015" s="480">
        <v>5600</v>
      </c>
      <c r="L1015" s="481"/>
      <c r="M1015" s="482"/>
      <c r="N1015" s="483"/>
      <c r="O1015" s="513"/>
      <c r="P1015" s="514">
        <v>6756</v>
      </c>
      <c r="Q1015" s="486">
        <v>2.17</v>
      </c>
      <c r="R1015" s="485">
        <v>0.27</v>
      </c>
      <c r="S1015" s="515">
        <v>1.6</v>
      </c>
      <c r="T1015" s="516">
        <v>35.700000000000003</v>
      </c>
      <c r="U1015" s="490">
        <v>10</v>
      </c>
      <c r="V1015" s="373"/>
      <c r="W1015" s="391" t="s">
        <v>511</v>
      </c>
    </row>
    <row r="1016" spans="1:23">
      <c r="A1016" s="476" t="s">
        <v>1487</v>
      </c>
      <c r="B1016" s="542">
        <v>58.8</v>
      </c>
      <c r="C1016" s="543">
        <v>22.5</v>
      </c>
      <c r="D1016" s="543">
        <v>17.3</v>
      </c>
      <c r="E1016" s="544">
        <v>4.97</v>
      </c>
      <c r="F1016" s="512"/>
      <c r="G1016" s="480"/>
      <c r="H1016" s="481">
        <v>16.160348067792452</v>
      </c>
      <c r="I1016" s="482">
        <v>325</v>
      </c>
      <c r="J1016" s="483"/>
      <c r="K1016" s="480"/>
      <c r="L1016" s="481"/>
      <c r="M1016" s="482"/>
      <c r="N1016" s="483"/>
      <c r="O1016" s="513"/>
      <c r="P1016" s="514">
        <v>531</v>
      </c>
      <c r="Q1016" s="486">
        <v>2.94</v>
      </c>
      <c r="R1016" s="485">
        <v>5.5</v>
      </c>
      <c r="S1016" s="515">
        <v>44</v>
      </c>
      <c r="T1016" s="516">
        <v>215</v>
      </c>
      <c r="U1016" s="490">
        <v>10</v>
      </c>
      <c r="V1016" s="373"/>
      <c r="W1016" s="391" t="s">
        <v>511</v>
      </c>
    </row>
    <row r="1017" spans="1:23">
      <c r="A1017" s="476" t="s">
        <v>1488</v>
      </c>
      <c r="B1017" s="542">
        <v>58.8</v>
      </c>
      <c r="C1017" s="543">
        <v>22.5</v>
      </c>
      <c r="D1017" s="543">
        <v>17.3</v>
      </c>
      <c r="E1017" s="544">
        <v>4.97</v>
      </c>
      <c r="F1017" s="512"/>
      <c r="G1017" s="480"/>
      <c r="H1017" s="481"/>
      <c r="I1017" s="482"/>
      <c r="J1017" s="483">
        <v>15.875705573416559</v>
      </c>
      <c r="K1017" s="480">
        <v>800</v>
      </c>
      <c r="L1017" s="481"/>
      <c r="M1017" s="482"/>
      <c r="N1017" s="483"/>
      <c r="O1017" s="513"/>
      <c r="P1017" s="514">
        <v>1114</v>
      </c>
      <c r="Q1017" s="486">
        <v>2.94</v>
      </c>
      <c r="R1017" s="485">
        <v>5.5</v>
      </c>
      <c r="S1017" s="515">
        <v>44</v>
      </c>
      <c r="T1017" s="516">
        <v>215</v>
      </c>
      <c r="U1017" s="490">
        <v>10</v>
      </c>
      <c r="V1017" s="373"/>
      <c r="W1017" s="391" t="s">
        <v>511</v>
      </c>
    </row>
    <row r="1018" spans="1:23">
      <c r="A1018" s="476" t="s">
        <v>1489</v>
      </c>
      <c r="B1018" s="542">
        <v>58.8</v>
      </c>
      <c r="C1018" s="543">
        <v>22.5</v>
      </c>
      <c r="D1018" s="543">
        <v>17.3</v>
      </c>
      <c r="E1018" s="544">
        <v>4.97</v>
      </c>
      <c r="F1018" s="512"/>
      <c r="G1018" s="480"/>
      <c r="H1018" s="481"/>
      <c r="I1018" s="482"/>
      <c r="J1018" s="483"/>
      <c r="K1018" s="480"/>
      <c r="L1018" s="481">
        <v>15.311803145737517</v>
      </c>
      <c r="M1018" s="482">
        <v>1450</v>
      </c>
      <c r="N1018" s="483"/>
      <c r="O1018" s="513"/>
      <c r="P1018" s="514">
        <v>1863</v>
      </c>
      <c r="Q1018" s="486">
        <v>2.94</v>
      </c>
      <c r="R1018" s="485">
        <v>5.5</v>
      </c>
      <c r="S1018" s="515">
        <v>44</v>
      </c>
      <c r="T1018" s="516">
        <v>215</v>
      </c>
      <c r="U1018" s="490">
        <v>10</v>
      </c>
      <c r="V1018" s="373"/>
      <c r="W1018" s="391" t="s">
        <v>511</v>
      </c>
    </row>
    <row r="1019" spans="1:23">
      <c r="A1019" s="476" t="s">
        <v>1490</v>
      </c>
      <c r="B1019" s="542">
        <v>58.8</v>
      </c>
      <c r="C1019" s="543">
        <v>22.5</v>
      </c>
      <c r="D1019" s="543">
        <v>17.3</v>
      </c>
      <c r="E1019" s="544">
        <v>4.97</v>
      </c>
      <c r="F1019" s="512"/>
      <c r="G1019" s="480"/>
      <c r="H1019" s="481"/>
      <c r="I1019" s="482"/>
      <c r="J1019" s="483"/>
      <c r="K1019" s="480"/>
      <c r="L1019" s="481"/>
      <c r="M1019" s="482"/>
      <c r="N1019" s="483">
        <v>15.006037491521562</v>
      </c>
      <c r="O1019" s="513">
        <v>1750</v>
      </c>
      <c r="P1019" s="514">
        <v>2235</v>
      </c>
      <c r="Q1019" s="486">
        <v>2.94</v>
      </c>
      <c r="R1019" s="485">
        <v>5.5</v>
      </c>
      <c r="S1019" s="515">
        <v>44</v>
      </c>
      <c r="T1019" s="516">
        <v>215</v>
      </c>
      <c r="U1019" s="490">
        <v>10</v>
      </c>
      <c r="V1019" s="373"/>
      <c r="W1019" s="391" t="s">
        <v>511</v>
      </c>
    </row>
    <row r="1020" spans="1:23">
      <c r="A1020" s="476" t="s">
        <v>1491</v>
      </c>
      <c r="B1020" s="542">
        <v>58.8</v>
      </c>
      <c r="C1020" s="543">
        <v>28</v>
      </c>
      <c r="D1020" s="543">
        <v>17.600000000000001</v>
      </c>
      <c r="E1020" s="544">
        <v>6.3</v>
      </c>
      <c r="F1020" s="512"/>
      <c r="G1020" s="480"/>
      <c r="H1020" s="481">
        <v>16.472536610011169</v>
      </c>
      <c r="I1020" s="482">
        <v>400</v>
      </c>
      <c r="J1020" s="483"/>
      <c r="K1020" s="480"/>
      <c r="L1020" s="481"/>
      <c r="M1020" s="482"/>
      <c r="N1020" s="483"/>
      <c r="O1020" s="513"/>
      <c r="P1020" s="514">
        <v>661</v>
      </c>
      <c r="Q1020" s="486">
        <v>2.94</v>
      </c>
      <c r="R1020" s="485">
        <v>3.43</v>
      </c>
      <c r="S1020" s="515">
        <v>28</v>
      </c>
      <c r="T1020" s="516">
        <v>174</v>
      </c>
      <c r="U1020" s="490">
        <v>10</v>
      </c>
      <c r="V1020" s="373"/>
      <c r="W1020" s="391" t="s">
        <v>511</v>
      </c>
    </row>
    <row r="1021" spans="1:23">
      <c r="A1021" s="476" t="s">
        <v>1492</v>
      </c>
      <c r="B1021" s="542">
        <v>58.8</v>
      </c>
      <c r="C1021" s="543">
        <v>28</v>
      </c>
      <c r="D1021" s="543">
        <v>17.600000000000001</v>
      </c>
      <c r="E1021" s="544">
        <v>6.3</v>
      </c>
      <c r="F1021" s="512"/>
      <c r="G1021" s="480"/>
      <c r="H1021" s="481"/>
      <c r="I1021" s="482"/>
      <c r="J1021" s="483">
        <v>16.083025828233634</v>
      </c>
      <c r="K1021" s="480">
        <v>950</v>
      </c>
      <c r="L1021" s="481"/>
      <c r="M1021" s="482"/>
      <c r="N1021" s="483"/>
      <c r="O1021" s="513"/>
      <c r="P1021" s="514">
        <v>1386</v>
      </c>
      <c r="Q1021" s="486">
        <v>2.94</v>
      </c>
      <c r="R1021" s="485">
        <v>3.43</v>
      </c>
      <c r="S1021" s="515">
        <v>28</v>
      </c>
      <c r="T1021" s="516">
        <v>174</v>
      </c>
      <c r="U1021" s="490">
        <v>10</v>
      </c>
      <c r="V1021" s="373"/>
      <c r="W1021" s="391" t="s">
        <v>511</v>
      </c>
    </row>
    <row r="1022" spans="1:23">
      <c r="A1022" s="476" t="s">
        <v>1493</v>
      </c>
      <c r="B1022" s="542">
        <v>58.8</v>
      </c>
      <c r="C1022" s="543">
        <v>28</v>
      </c>
      <c r="D1022" s="543">
        <v>17.600000000000001</v>
      </c>
      <c r="E1022" s="544">
        <v>6.3</v>
      </c>
      <c r="F1022" s="512"/>
      <c r="G1022" s="480"/>
      <c r="H1022" s="481"/>
      <c r="I1022" s="482"/>
      <c r="J1022" s="483"/>
      <c r="K1022" s="480"/>
      <c r="L1022" s="481">
        <v>15.305400360670603</v>
      </c>
      <c r="M1022" s="482">
        <v>1800</v>
      </c>
      <c r="N1022" s="483"/>
      <c r="O1022" s="513"/>
      <c r="P1022" s="514">
        <v>2313</v>
      </c>
      <c r="Q1022" s="486">
        <v>2.94</v>
      </c>
      <c r="R1022" s="485">
        <v>3.43</v>
      </c>
      <c r="S1022" s="515">
        <v>28</v>
      </c>
      <c r="T1022" s="516">
        <v>174</v>
      </c>
      <c r="U1022" s="490">
        <v>10</v>
      </c>
      <c r="V1022" s="373"/>
      <c r="W1022" s="391" t="s">
        <v>511</v>
      </c>
    </row>
    <row r="1023" spans="1:23">
      <c r="A1023" s="476" t="s">
        <v>1494</v>
      </c>
      <c r="B1023" s="542">
        <v>58.8</v>
      </c>
      <c r="C1023" s="543">
        <v>28</v>
      </c>
      <c r="D1023" s="543">
        <v>17.600000000000001</v>
      </c>
      <c r="E1023" s="544">
        <v>6.3</v>
      </c>
      <c r="F1023" s="512"/>
      <c r="G1023" s="480"/>
      <c r="H1023" s="481"/>
      <c r="I1023" s="482"/>
      <c r="J1023" s="483"/>
      <c r="K1023" s="480"/>
      <c r="L1023" s="481"/>
      <c r="M1023" s="482"/>
      <c r="N1023" s="483">
        <v>14.823112654331526</v>
      </c>
      <c r="O1023" s="513">
        <v>2200</v>
      </c>
      <c r="P1023" s="514">
        <v>2776</v>
      </c>
      <c r="Q1023" s="486">
        <v>2.94</v>
      </c>
      <c r="R1023" s="485">
        <v>3.43</v>
      </c>
      <c r="S1023" s="515">
        <v>28</v>
      </c>
      <c r="T1023" s="516">
        <v>174</v>
      </c>
      <c r="U1023" s="490">
        <v>10</v>
      </c>
      <c r="V1023" s="373"/>
      <c r="W1023" s="391" t="s">
        <v>511</v>
      </c>
    </row>
    <row r="1024" spans="1:23">
      <c r="A1024" s="476" t="s">
        <v>1495</v>
      </c>
      <c r="B1024" s="542">
        <v>59.2</v>
      </c>
      <c r="C1024" s="543">
        <v>39.200000000000003</v>
      </c>
      <c r="D1024" s="543">
        <v>17.5</v>
      </c>
      <c r="E1024" s="544">
        <v>8.6999999999999993</v>
      </c>
      <c r="F1024" s="512"/>
      <c r="G1024" s="480"/>
      <c r="H1024" s="481">
        <v>16.119212636347161</v>
      </c>
      <c r="I1024" s="482">
        <v>625</v>
      </c>
      <c r="J1024" s="483"/>
      <c r="K1024" s="480"/>
      <c r="L1024" s="481"/>
      <c r="M1024" s="482"/>
      <c r="N1024" s="483"/>
      <c r="O1024" s="513"/>
      <c r="P1024" s="514">
        <v>923</v>
      </c>
      <c r="Q1024" s="486">
        <v>2.94</v>
      </c>
      <c r="R1024" s="485">
        <v>1.8</v>
      </c>
      <c r="S1024" s="515">
        <v>14.6</v>
      </c>
      <c r="T1024" s="516">
        <v>124</v>
      </c>
      <c r="U1024" s="490">
        <v>10</v>
      </c>
      <c r="V1024" s="373"/>
      <c r="W1024" s="391" t="s">
        <v>511</v>
      </c>
    </row>
    <row r="1025" spans="1:23">
      <c r="A1025" s="476" t="s">
        <v>1496</v>
      </c>
      <c r="B1025" s="542">
        <v>59.2</v>
      </c>
      <c r="C1025" s="543">
        <v>39.200000000000003</v>
      </c>
      <c r="D1025" s="543">
        <v>17.5</v>
      </c>
      <c r="E1025" s="544">
        <v>8.6999999999999993</v>
      </c>
      <c r="F1025" s="512"/>
      <c r="G1025" s="480"/>
      <c r="H1025" s="481"/>
      <c r="I1025" s="482"/>
      <c r="J1025" s="483">
        <v>15.48350232079725</v>
      </c>
      <c r="K1025" s="480">
        <v>1400</v>
      </c>
      <c r="L1025" s="481"/>
      <c r="M1025" s="482"/>
      <c r="N1025" s="483"/>
      <c r="O1025" s="513"/>
      <c r="P1025" s="514">
        <v>1935</v>
      </c>
      <c r="Q1025" s="486">
        <v>2.94</v>
      </c>
      <c r="R1025" s="485">
        <v>1.8</v>
      </c>
      <c r="S1025" s="515">
        <v>14.6</v>
      </c>
      <c r="T1025" s="516">
        <v>124</v>
      </c>
      <c r="U1025" s="490">
        <v>10</v>
      </c>
      <c r="V1025" s="373"/>
      <c r="W1025" s="391" t="s">
        <v>511</v>
      </c>
    </row>
    <row r="1026" spans="1:23">
      <c r="A1026" s="476" t="s">
        <v>1497</v>
      </c>
      <c r="B1026" s="542">
        <v>59.2</v>
      </c>
      <c r="C1026" s="543">
        <v>39.200000000000003</v>
      </c>
      <c r="D1026" s="543">
        <v>17.5</v>
      </c>
      <c r="E1026" s="544">
        <v>8.6999999999999993</v>
      </c>
      <c r="F1026" s="512"/>
      <c r="G1026" s="480"/>
      <c r="H1026" s="481"/>
      <c r="I1026" s="482"/>
      <c r="J1026" s="483"/>
      <c r="K1026" s="480"/>
      <c r="L1026" s="481">
        <v>14.155427879702691</v>
      </c>
      <c r="M1026" s="482">
        <v>2550</v>
      </c>
      <c r="N1026" s="483"/>
      <c r="O1026" s="513"/>
      <c r="P1026" s="514">
        <v>3224</v>
      </c>
      <c r="Q1026" s="486">
        <v>2.94</v>
      </c>
      <c r="R1026" s="485">
        <v>1.8</v>
      </c>
      <c r="S1026" s="515">
        <v>14.6</v>
      </c>
      <c r="T1026" s="516">
        <v>124</v>
      </c>
      <c r="U1026" s="490">
        <v>10</v>
      </c>
      <c r="V1026" s="373"/>
      <c r="W1026" s="391" t="s">
        <v>511</v>
      </c>
    </row>
    <row r="1027" spans="1:23">
      <c r="A1027" s="476" t="s">
        <v>1498</v>
      </c>
      <c r="B1027" s="542">
        <v>59.2</v>
      </c>
      <c r="C1027" s="543">
        <v>39.200000000000003</v>
      </c>
      <c r="D1027" s="543">
        <v>17.5</v>
      </c>
      <c r="E1027" s="544">
        <v>8.6999999999999993</v>
      </c>
      <c r="F1027" s="512"/>
      <c r="G1027" s="480"/>
      <c r="H1027" s="481"/>
      <c r="I1027" s="482"/>
      <c r="J1027" s="483"/>
      <c r="K1027" s="480"/>
      <c r="L1027" s="481"/>
      <c r="M1027" s="482"/>
      <c r="N1027" s="483">
        <v>13.100441253251635</v>
      </c>
      <c r="O1027" s="513">
        <v>3200</v>
      </c>
      <c r="P1027" s="514">
        <v>3869</v>
      </c>
      <c r="Q1027" s="486">
        <v>2.94</v>
      </c>
      <c r="R1027" s="485">
        <v>1.8</v>
      </c>
      <c r="S1027" s="515">
        <v>14.6</v>
      </c>
      <c r="T1027" s="516">
        <v>124</v>
      </c>
      <c r="U1027" s="490">
        <v>10</v>
      </c>
      <c r="V1027" s="373"/>
      <c r="W1027" s="391" t="s">
        <v>511</v>
      </c>
    </row>
    <row r="1028" spans="1:23">
      <c r="A1028" s="476" t="s">
        <v>1499</v>
      </c>
      <c r="B1028" s="542">
        <v>59.4</v>
      </c>
      <c r="C1028" s="543">
        <v>49.5</v>
      </c>
      <c r="D1028" s="543">
        <v>17.45</v>
      </c>
      <c r="E1028" s="544">
        <v>10.92</v>
      </c>
      <c r="F1028" s="512"/>
      <c r="G1028" s="480"/>
      <c r="H1028" s="481">
        <v>15.952942531093511</v>
      </c>
      <c r="I1028" s="482">
        <v>850</v>
      </c>
      <c r="J1028" s="483"/>
      <c r="K1028" s="480"/>
      <c r="L1028" s="481"/>
      <c r="M1028" s="482"/>
      <c r="N1028" s="483"/>
      <c r="O1028" s="513"/>
      <c r="P1028" s="514">
        <v>1165</v>
      </c>
      <c r="Q1028" s="486">
        <v>2.94</v>
      </c>
      <c r="R1028" s="485">
        <v>1.1399999999999999</v>
      </c>
      <c r="S1028" s="515">
        <v>9.3000000000000007</v>
      </c>
      <c r="T1028" s="516">
        <v>99</v>
      </c>
      <c r="U1028" s="490">
        <v>10</v>
      </c>
      <c r="V1028" s="373"/>
      <c r="W1028" s="391" t="s">
        <v>511</v>
      </c>
    </row>
    <row r="1029" spans="1:23">
      <c r="A1029" s="476" t="s">
        <v>1500</v>
      </c>
      <c r="B1029" s="542">
        <v>59.4</v>
      </c>
      <c r="C1029" s="543">
        <v>49.5</v>
      </c>
      <c r="D1029" s="543">
        <v>17.45</v>
      </c>
      <c r="E1029" s="544">
        <v>10.92</v>
      </c>
      <c r="F1029" s="512"/>
      <c r="G1029" s="480"/>
      <c r="H1029" s="481"/>
      <c r="I1029" s="482"/>
      <c r="J1029" s="483">
        <v>15.020785439916175</v>
      </c>
      <c r="K1029" s="480">
        <v>1850</v>
      </c>
      <c r="L1029" s="481"/>
      <c r="M1029" s="482"/>
      <c r="N1029" s="483"/>
      <c r="O1029" s="513"/>
      <c r="P1029" s="514">
        <v>2437</v>
      </c>
      <c r="Q1029" s="486">
        <v>2.94</v>
      </c>
      <c r="R1029" s="485">
        <v>1.1399999999999999</v>
      </c>
      <c r="S1029" s="515">
        <v>9.3000000000000007</v>
      </c>
      <c r="T1029" s="516">
        <v>99</v>
      </c>
      <c r="U1029" s="490">
        <v>10</v>
      </c>
      <c r="V1029" s="373"/>
      <c r="W1029" s="391" t="s">
        <v>511</v>
      </c>
    </row>
    <row r="1030" spans="1:23">
      <c r="A1030" s="476" t="s">
        <v>1501</v>
      </c>
      <c r="B1030" s="542">
        <v>59.4</v>
      </c>
      <c r="C1030" s="543">
        <v>49.5</v>
      </c>
      <c r="D1030" s="543">
        <v>17.45</v>
      </c>
      <c r="E1030" s="544">
        <v>10.92</v>
      </c>
      <c r="F1030" s="512"/>
      <c r="G1030" s="480"/>
      <c r="H1030" s="481"/>
      <c r="I1030" s="482"/>
      <c r="J1030" s="483"/>
      <c r="K1030" s="480"/>
      <c r="L1030" s="481">
        <v>12.441369265697876</v>
      </c>
      <c r="M1030" s="482">
        <v>3500</v>
      </c>
      <c r="N1030" s="483"/>
      <c r="O1030" s="513"/>
      <c r="P1030" s="514">
        <v>4061</v>
      </c>
      <c r="Q1030" s="486">
        <v>2.94</v>
      </c>
      <c r="R1030" s="485">
        <v>1.1399999999999999</v>
      </c>
      <c r="S1030" s="515">
        <v>9.3000000000000007</v>
      </c>
      <c r="T1030" s="516">
        <v>99</v>
      </c>
      <c r="U1030" s="490">
        <v>10</v>
      </c>
      <c r="V1030" s="373"/>
      <c r="W1030" s="391" t="s">
        <v>511</v>
      </c>
    </row>
    <row r="1031" spans="1:23">
      <c r="A1031" s="476" t="s">
        <v>1502</v>
      </c>
      <c r="B1031" s="542">
        <v>59.4</v>
      </c>
      <c r="C1031" s="543">
        <v>49.5</v>
      </c>
      <c r="D1031" s="543">
        <v>17.45</v>
      </c>
      <c r="E1031" s="544">
        <v>10.92</v>
      </c>
      <c r="F1031" s="512"/>
      <c r="G1031" s="480"/>
      <c r="H1031" s="481"/>
      <c r="I1031" s="482"/>
      <c r="J1031" s="483"/>
      <c r="K1031" s="480"/>
      <c r="L1031" s="481"/>
      <c r="M1031" s="482"/>
      <c r="N1031" s="483">
        <v>10.548641577020971</v>
      </c>
      <c r="O1031" s="513">
        <v>4300</v>
      </c>
      <c r="P1031" s="514">
        <v>4873</v>
      </c>
      <c r="Q1031" s="486">
        <v>2.94</v>
      </c>
      <c r="R1031" s="485">
        <v>1.1399999999999999</v>
      </c>
      <c r="S1031" s="515">
        <v>9.3000000000000007</v>
      </c>
      <c r="T1031" s="516">
        <v>99</v>
      </c>
      <c r="U1031" s="490">
        <v>10</v>
      </c>
      <c r="V1031" s="373"/>
      <c r="W1031" s="391" t="s">
        <v>511</v>
      </c>
    </row>
    <row r="1032" spans="1:23">
      <c r="A1032" s="476" t="s">
        <v>1503</v>
      </c>
      <c r="B1032" s="542">
        <v>59.4</v>
      </c>
      <c r="C1032" s="543">
        <v>55.4</v>
      </c>
      <c r="D1032" s="543">
        <v>17.100000000000001</v>
      </c>
      <c r="E1032" s="544">
        <v>12</v>
      </c>
      <c r="F1032" s="512"/>
      <c r="G1032" s="480"/>
      <c r="H1032" s="481">
        <v>15.580431271101332</v>
      </c>
      <c r="I1032" s="482">
        <v>950</v>
      </c>
      <c r="J1032" s="483"/>
      <c r="K1032" s="480"/>
      <c r="L1032" s="481"/>
      <c r="M1032" s="482"/>
      <c r="N1032" s="483"/>
      <c r="O1032" s="513"/>
      <c r="P1032" s="514">
        <v>1305</v>
      </c>
      <c r="Q1032" s="486">
        <v>2.94</v>
      </c>
      <c r="R1032" s="485">
        <v>0.94</v>
      </c>
      <c r="S1032" s="515">
        <v>7.4</v>
      </c>
      <c r="T1032" s="516">
        <v>88.4</v>
      </c>
      <c r="U1032" s="490">
        <v>10</v>
      </c>
      <c r="V1032" s="373"/>
      <c r="W1032" s="391" t="s">
        <v>511</v>
      </c>
    </row>
    <row r="1033" spans="1:23">
      <c r="A1033" s="476" t="s">
        <v>1504</v>
      </c>
      <c r="B1033" s="542">
        <v>59.4</v>
      </c>
      <c r="C1033" s="543">
        <v>55.4</v>
      </c>
      <c r="D1033" s="543">
        <v>17.100000000000001</v>
      </c>
      <c r="E1033" s="544">
        <v>12</v>
      </c>
      <c r="F1033" s="512"/>
      <c r="G1033" s="480"/>
      <c r="H1033" s="481"/>
      <c r="I1033" s="482"/>
      <c r="J1033" s="483">
        <v>14.533563583806249</v>
      </c>
      <c r="K1033" s="480">
        <v>2050</v>
      </c>
      <c r="L1033" s="481"/>
      <c r="M1033" s="482"/>
      <c r="N1033" s="483"/>
      <c r="O1033" s="513"/>
      <c r="P1033" s="514">
        <v>2728</v>
      </c>
      <c r="Q1033" s="486">
        <v>2.94</v>
      </c>
      <c r="R1033" s="485">
        <v>0.94</v>
      </c>
      <c r="S1033" s="515">
        <v>7.4</v>
      </c>
      <c r="T1033" s="516">
        <v>88.4</v>
      </c>
      <c r="U1033" s="490">
        <v>10</v>
      </c>
      <c r="V1033" s="373"/>
      <c r="W1033" s="391" t="s">
        <v>511</v>
      </c>
    </row>
    <row r="1034" spans="1:23">
      <c r="A1034" s="476" t="s">
        <v>1505</v>
      </c>
      <c r="B1034" s="542">
        <v>59.4</v>
      </c>
      <c r="C1034" s="543">
        <v>55.4</v>
      </c>
      <c r="D1034" s="543">
        <v>17.100000000000001</v>
      </c>
      <c r="E1034" s="544">
        <v>12</v>
      </c>
      <c r="F1034" s="512"/>
      <c r="G1034" s="480"/>
      <c r="H1034" s="481"/>
      <c r="I1034" s="482"/>
      <c r="J1034" s="483"/>
      <c r="K1034" s="480"/>
      <c r="L1034" s="481">
        <v>11.496360954248335</v>
      </c>
      <c r="M1034" s="482">
        <v>3850</v>
      </c>
      <c r="N1034" s="483"/>
      <c r="O1034" s="513"/>
      <c r="P1034" s="514">
        <v>4547</v>
      </c>
      <c r="Q1034" s="486">
        <v>2.94</v>
      </c>
      <c r="R1034" s="485">
        <v>0.94</v>
      </c>
      <c r="S1034" s="515">
        <v>7.4</v>
      </c>
      <c r="T1034" s="516">
        <v>88.4</v>
      </c>
      <c r="U1034" s="490">
        <v>10</v>
      </c>
      <c r="V1034" s="373"/>
      <c r="W1034" s="391" t="s">
        <v>511</v>
      </c>
    </row>
    <row r="1035" spans="1:23">
      <c r="A1035" s="476" t="s">
        <v>1506</v>
      </c>
      <c r="B1035" s="542">
        <v>59.4</v>
      </c>
      <c r="C1035" s="543">
        <v>55.4</v>
      </c>
      <c r="D1035" s="543">
        <v>17.100000000000001</v>
      </c>
      <c r="E1035" s="544">
        <v>12</v>
      </c>
      <c r="F1035" s="512"/>
      <c r="G1035" s="480"/>
      <c r="H1035" s="481"/>
      <c r="I1035" s="482"/>
      <c r="J1035" s="483"/>
      <c r="K1035" s="480"/>
      <c r="L1035" s="481"/>
      <c r="M1035" s="482"/>
      <c r="N1035" s="483">
        <v>9.1226258870120436</v>
      </c>
      <c r="O1035" s="513">
        <v>4700</v>
      </c>
      <c r="P1035" s="514">
        <v>5457</v>
      </c>
      <c r="Q1035" s="486">
        <v>2.94</v>
      </c>
      <c r="R1035" s="485">
        <v>0.94</v>
      </c>
      <c r="S1035" s="515">
        <v>7.4</v>
      </c>
      <c r="T1035" s="516">
        <v>88.4</v>
      </c>
      <c r="U1035" s="490">
        <v>10</v>
      </c>
      <c r="V1035" s="373"/>
      <c r="W1035" s="391" t="s">
        <v>511</v>
      </c>
    </row>
    <row r="1036" spans="1:23">
      <c r="A1036" s="476" t="s">
        <v>1507</v>
      </c>
      <c r="B1036" s="542">
        <v>59.4</v>
      </c>
      <c r="C1036" s="543">
        <v>69</v>
      </c>
      <c r="D1036" s="543">
        <v>17.3</v>
      </c>
      <c r="E1036" s="544">
        <v>14.92</v>
      </c>
      <c r="F1036" s="512"/>
      <c r="G1036" s="480"/>
      <c r="H1036" s="481">
        <v>15.597184423005743</v>
      </c>
      <c r="I1036" s="482">
        <v>1200</v>
      </c>
      <c r="J1036" s="483"/>
      <c r="K1036" s="480"/>
      <c r="L1036" s="481"/>
      <c r="M1036" s="482"/>
      <c r="N1036" s="483"/>
      <c r="O1036" s="513"/>
      <c r="P1036" s="514">
        <v>1607</v>
      </c>
      <c r="Q1036" s="486">
        <v>2.94</v>
      </c>
      <c r="R1036" s="485">
        <v>0.61</v>
      </c>
      <c r="S1036" s="515">
        <v>4.9000000000000004</v>
      </c>
      <c r="T1036" s="516">
        <v>72.099999999999994</v>
      </c>
      <c r="U1036" s="490">
        <v>10</v>
      </c>
      <c r="V1036" s="373"/>
      <c r="W1036" s="391" t="s">
        <v>511</v>
      </c>
    </row>
    <row r="1037" spans="1:23">
      <c r="A1037" s="476" t="s">
        <v>1508</v>
      </c>
      <c r="B1037" s="542">
        <v>59.4</v>
      </c>
      <c r="C1037" s="543">
        <v>69</v>
      </c>
      <c r="D1037" s="543">
        <v>17.3</v>
      </c>
      <c r="E1037" s="544">
        <v>14.92</v>
      </c>
      <c r="F1037" s="512"/>
      <c r="G1037" s="480"/>
      <c r="H1037" s="481"/>
      <c r="I1037" s="482"/>
      <c r="J1037" s="483">
        <v>13.873506360085971</v>
      </c>
      <c r="K1037" s="480">
        <v>2650</v>
      </c>
      <c r="L1037" s="481"/>
      <c r="M1037" s="482"/>
      <c r="N1037" s="483"/>
      <c r="O1037" s="513"/>
      <c r="P1037" s="514">
        <v>3356</v>
      </c>
      <c r="Q1037" s="486">
        <v>2.94</v>
      </c>
      <c r="R1037" s="485">
        <v>0.61</v>
      </c>
      <c r="S1037" s="515">
        <v>4.9000000000000004</v>
      </c>
      <c r="T1037" s="516">
        <v>72.099999999999994</v>
      </c>
      <c r="U1037" s="490">
        <v>10</v>
      </c>
      <c r="V1037" s="373"/>
      <c r="W1037" s="391" t="s">
        <v>511</v>
      </c>
    </row>
    <row r="1038" spans="1:23">
      <c r="A1038" s="476" t="s">
        <v>1509</v>
      </c>
      <c r="B1038" s="542">
        <v>59.4</v>
      </c>
      <c r="C1038" s="543">
        <v>69</v>
      </c>
      <c r="D1038" s="543">
        <v>17.3</v>
      </c>
      <c r="E1038" s="544">
        <v>14.92</v>
      </c>
      <c r="F1038" s="512"/>
      <c r="G1038" s="480"/>
      <c r="H1038" s="481"/>
      <c r="I1038" s="482"/>
      <c r="J1038" s="483"/>
      <c r="K1038" s="480"/>
      <c r="L1038" s="481">
        <v>7.6956096012669395</v>
      </c>
      <c r="M1038" s="482">
        <v>5100</v>
      </c>
      <c r="N1038" s="483"/>
      <c r="O1038" s="513"/>
      <c r="P1038" s="514">
        <v>5593</v>
      </c>
      <c r="Q1038" s="486">
        <v>2.94</v>
      </c>
      <c r="R1038" s="485">
        <v>0.61</v>
      </c>
      <c r="S1038" s="515">
        <v>4.9000000000000004</v>
      </c>
      <c r="T1038" s="516">
        <v>72.099999999999994</v>
      </c>
      <c r="U1038" s="490">
        <v>10</v>
      </c>
      <c r="V1038" s="373"/>
      <c r="W1038" s="391" t="s">
        <v>511</v>
      </c>
    </row>
    <row r="1039" spans="1:23">
      <c r="A1039" s="476" t="s">
        <v>1510</v>
      </c>
      <c r="B1039" s="542">
        <v>59.4</v>
      </c>
      <c r="C1039" s="543">
        <v>69</v>
      </c>
      <c r="D1039" s="543">
        <v>17.3</v>
      </c>
      <c r="E1039" s="544">
        <v>14.92</v>
      </c>
      <c r="F1039" s="512"/>
      <c r="G1039" s="480"/>
      <c r="H1039" s="481"/>
      <c r="I1039" s="482"/>
      <c r="J1039" s="483"/>
      <c r="K1039" s="480"/>
      <c r="L1039" s="481"/>
      <c r="M1039" s="482"/>
      <c r="N1039" s="483">
        <v>6.2689363695640994</v>
      </c>
      <c r="O1039" s="513">
        <v>5400</v>
      </c>
      <c r="P1039" s="514">
        <v>6711</v>
      </c>
      <c r="Q1039" s="486">
        <v>2.94</v>
      </c>
      <c r="R1039" s="485">
        <v>0.61</v>
      </c>
      <c r="S1039" s="515">
        <v>4.9000000000000004</v>
      </c>
      <c r="T1039" s="516">
        <v>72.099999999999994</v>
      </c>
      <c r="U1039" s="490">
        <v>10</v>
      </c>
      <c r="V1039" s="373"/>
      <c r="W1039" s="391" t="s">
        <v>511</v>
      </c>
    </row>
    <row r="1040" spans="1:23">
      <c r="A1040" s="476" t="s">
        <v>1511</v>
      </c>
      <c r="B1040" s="542">
        <v>59.4</v>
      </c>
      <c r="C1040" s="543">
        <v>86.5</v>
      </c>
      <c r="D1040" s="543">
        <v>17.100000000000001</v>
      </c>
      <c r="E1040" s="544">
        <v>18.64</v>
      </c>
      <c r="F1040" s="512"/>
      <c r="G1040" s="480"/>
      <c r="H1040" s="481">
        <v>15.094049441618461</v>
      </c>
      <c r="I1040" s="482">
        <v>1550</v>
      </c>
      <c r="J1040" s="483"/>
      <c r="K1040" s="480"/>
      <c r="L1040" s="481"/>
      <c r="M1040" s="482"/>
      <c r="N1040" s="483"/>
      <c r="O1040" s="513"/>
      <c r="P1040" s="514">
        <v>2032</v>
      </c>
      <c r="Q1040" s="486">
        <v>2.94</v>
      </c>
      <c r="R1040" s="485">
        <v>0.39</v>
      </c>
      <c r="S1040" s="515">
        <v>3.1</v>
      </c>
      <c r="T1040" s="516">
        <v>57</v>
      </c>
      <c r="U1040" s="490">
        <v>10</v>
      </c>
      <c r="V1040" s="373"/>
      <c r="W1040" s="391" t="s">
        <v>511</v>
      </c>
    </row>
    <row r="1041" spans="1:23">
      <c r="A1041" s="476" t="s">
        <v>1512</v>
      </c>
      <c r="B1041" s="542">
        <v>59.4</v>
      </c>
      <c r="C1041" s="543">
        <v>86.5</v>
      </c>
      <c r="D1041" s="543">
        <v>17.100000000000001</v>
      </c>
      <c r="E1041" s="544">
        <v>18.64</v>
      </c>
      <c r="F1041" s="512"/>
      <c r="G1041" s="480"/>
      <c r="H1041" s="481"/>
      <c r="I1041" s="482"/>
      <c r="J1041" s="483">
        <v>12.44217172759582</v>
      </c>
      <c r="K1041" s="480">
        <v>3400</v>
      </c>
      <c r="L1041" s="481"/>
      <c r="M1041" s="482"/>
      <c r="N1041" s="483"/>
      <c r="O1041" s="513"/>
      <c r="P1041" s="514">
        <v>4241</v>
      </c>
      <c r="Q1041" s="486">
        <v>2.94</v>
      </c>
      <c r="R1041" s="485">
        <v>0.39</v>
      </c>
      <c r="S1041" s="515">
        <v>3.1</v>
      </c>
      <c r="T1041" s="516">
        <v>57</v>
      </c>
      <c r="U1041" s="490">
        <v>10</v>
      </c>
      <c r="V1041" s="373"/>
      <c r="W1041" s="391" t="s">
        <v>511</v>
      </c>
    </row>
    <row r="1042" spans="1:23">
      <c r="A1042" s="476" t="s">
        <v>1513</v>
      </c>
      <c r="B1042" s="542">
        <v>59.4</v>
      </c>
      <c r="C1042" s="543">
        <v>86.5</v>
      </c>
      <c r="D1042" s="543">
        <v>17.100000000000001</v>
      </c>
      <c r="E1042" s="544">
        <v>18.64</v>
      </c>
      <c r="F1042" s="512"/>
      <c r="G1042" s="480"/>
      <c r="H1042" s="481"/>
      <c r="I1042" s="482"/>
      <c r="J1042" s="483"/>
      <c r="K1042" s="480"/>
      <c r="L1042" s="481">
        <v>3.6056826762543186</v>
      </c>
      <c r="M1042" s="482">
        <v>5800</v>
      </c>
      <c r="N1042" s="483"/>
      <c r="O1042" s="513"/>
      <c r="P1042" s="514">
        <v>7068</v>
      </c>
      <c r="Q1042" s="486">
        <v>2.94</v>
      </c>
      <c r="R1042" s="485">
        <v>0.39</v>
      </c>
      <c r="S1042" s="515">
        <v>3.1</v>
      </c>
      <c r="T1042" s="516">
        <v>57</v>
      </c>
      <c r="U1042" s="490">
        <v>10</v>
      </c>
      <c r="V1042" s="373"/>
      <c r="W1042" s="391" t="s">
        <v>511</v>
      </c>
    </row>
    <row r="1043" spans="1:23">
      <c r="A1043" s="476" t="s">
        <v>1514</v>
      </c>
      <c r="B1043" s="542">
        <v>76.099999999999994</v>
      </c>
      <c r="C1043" s="543">
        <v>46.1</v>
      </c>
      <c r="D1043" s="543">
        <v>21.8</v>
      </c>
      <c r="E1043" s="544">
        <v>10.199999999999999</v>
      </c>
      <c r="F1043" s="512"/>
      <c r="G1043" s="480"/>
      <c r="H1043" s="481">
        <v>20.567715722644937</v>
      </c>
      <c r="I1043" s="482">
        <v>650</v>
      </c>
      <c r="J1043" s="483"/>
      <c r="K1043" s="480"/>
      <c r="L1043" s="481"/>
      <c r="M1043" s="482"/>
      <c r="N1043" s="483"/>
      <c r="O1043" s="513"/>
      <c r="P1043" s="514">
        <v>867</v>
      </c>
      <c r="Q1043" s="486">
        <v>3.7</v>
      </c>
      <c r="R1043" s="485">
        <v>1.41</v>
      </c>
      <c r="S1043" s="515">
        <v>12</v>
      </c>
      <c r="T1043" s="516">
        <v>132</v>
      </c>
      <c r="U1043" s="490">
        <v>10</v>
      </c>
      <c r="V1043" s="373"/>
      <c r="W1043" s="391" t="s">
        <v>511</v>
      </c>
    </row>
    <row r="1044" spans="1:23">
      <c r="A1044" s="476" t="s">
        <v>1515</v>
      </c>
      <c r="B1044" s="542">
        <v>76.099999999999994</v>
      </c>
      <c r="C1044" s="543">
        <v>46.1</v>
      </c>
      <c r="D1044" s="543">
        <v>21.8</v>
      </c>
      <c r="E1044" s="544">
        <v>10.199999999999999</v>
      </c>
      <c r="F1044" s="512"/>
      <c r="G1044" s="480"/>
      <c r="H1044" s="481"/>
      <c r="I1044" s="482"/>
      <c r="J1044" s="483">
        <v>19.644267261628229</v>
      </c>
      <c r="K1044" s="480">
        <v>1400</v>
      </c>
      <c r="L1044" s="481"/>
      <c r="M1044" s="482"/>
      <c r="N1044" s="483"/>
      <c r="O1044" s="513"/>
      <c r="P1044" s="514">
        <v>1818</v>
      </c>
      <c r="Q1044" s="486">
        <v>3.7</v>
      </c>
      <c r="R1044" s="485">
        <v>1.41</v>
      </c>
      <c r="S1044" s="515">
        <v>12</v>
      </c>
      <c r="T1044" s="516">
        <v>132</v>
      </c>
      <c r="U1044" s="490">
        <v>10</v>
      </c>
      <c r="V1044" s="373"/>
      <c r="W1044" s="391" t="s">
        <v>511</v>
      </c>
    </row>
    <row r="1045" spans="1:23">
      <c r="A1045" s="476" t="s">
        <v>1516</v>
      </c>
      <c r="B1045" s="542">
        <v>76.099999999999994</v>
      </c>
      <c r="C1045" s="543">
        <v>46.1</v>
      </c>
      <c r="D1045" s="543">
        <v>21.8</v>
      </c>
      <c r="E1045" s="544">
        <v>10.199999999999999</v>
      </c>
      <c r="F1045" s="512"/>
      <c r="G1045" s="480"/>
      <c r="H1045" s="481"/>
      <c r="I1045" s="482"/>
      <c r="J1045" s="483"/>
      <c r="K1045" s="480"/>
      <c r="L1045" s="481">
        <v>17.188733853924695</v>
      </c>
      <c r="M1045" s="482">
        <v>2550</v>
      </c>
      <c r="N1045" s="483"/>
      <c r="O1045" s="513"/>
      <c r="P1045" s="514">
        <v>3029</v>
      </c>
      <c r="Q1045" s="486">
        <v>3.7</v>
      </c>
      <c r="R1045" s="485">
        <v>1.41</v>
      </c>
      <c r="S1045" s="515">
        <v>12</v>
      </c>
      <c r="T1045" s="516">
        <v>132</v>
      </c>
      <c r="U1045" s="490">
        <v>10</v>
      </c>
      <c r="V1045" s="373"/>
      <c r="W1045" s="391" t="s">
        <v>511</v>
      </c>
    </row>
    <row r="1046" spans="1:23">
      <c r="A1046" s="476" t="s">
        <v>1517</v>
      </c>
      <c r="B1046" s="542">
        <v>76.099999999999994</v>
      </c>
      <c r="C1046" s="543">
        <v>46.1</v>
      </c>
      <c r="D1046" s="543">
        <v>21.8</v>
      </c>
      <c r="E1046" s="544">
        <v>10.199999999999999</v>
      </c>
      <c r="F1046" s="512"/>
      <c r="G1046" s="480"/>
      <c r="H1046" s="481"/>
      <c r="I1046" s="482"/>
      <c r="J1046" s="483"/>
      <c r="K1046" s="480"/>
      <c r="L1046" s="481"/>
      <c r="M1046" s="482"/>
      <c r="N1046" s="483">
        <v>15.586916362161105</v>
      </c>
      <c r="O1046" s="513">
        <v>3100</v>
      </c>
      <c r="P1046" s="514">
        <v>3635</v>
      </c>
      <c r="Q1046" s="486">
        <v>3.7</v>
      </c>
      <c r="R1046" s="485">
        <v>1.41</v>
      </c>
      <c r="S1046" s="515">
        <v>12</v>
      </c>
      <c r="T1046" s="516">
        <v>132</v>
      </c>
      <c r="U1046" s="490">
        <v>10</v>
      </c>
      <c r="V1046" s="373"/>
      <c r="W1046" s="391" t="s">
        <v>511</v>
      </c>
    </row>
    <row r="1047" spans="1:23">
      <c r="A1047" s="476" t="s">
        <v>1518</v>
      </c>
      <c r="B1047" s="542">
        <v>76.599999999999994</v>
      </c>
      <c r="C1047" s="543">
        <v>64</v>
      </c>
      <c r="D1047" s="543">
        <v>21.7</v>
      </c>
      <c r="E1047" s="544">
        <v>14</v>
      </c>
      <c r="F1047" s="512"/>
      <c r="G1047" s="480"/>
      <c r="H1047" s="481">
        <v>19.629109648000426</v>
      </c>
      <c r="I1047" s="482">
        <v>900</v>
      </c>
      <c r="J1047" s="483"/>
      <c r="K1047" s="480"/>
      <c r="L1047" s="481"/>
      <c r="M1047" s="482"/>
      <c r="N1047" s="483"/>
      <c r="O1047" s="513"/>
      <c r="P1047" s="514">
        <v>1197</v>
      </c>
      <c r="Q1047" s="486">
        <v>3.7</v>
      </c>
      <c r="R1047" s="485">
        <v>0.75</v>
      </c>
      <c r="S1047" s="515">
        <v>6.2</v>
      </c>
      <c r="T1047" s="516">
        <v>96.2</v>
      </c>
      <c r="U1047" s="490">
        <v>10</v>
      </c>
      <c r="V1047" s="373"/>
      <c r="W1047" s="391" t="s">
        <v>511</v>
      </c>
    </row>
    <row r="1048" spans="1:23">
      <c r="A1048" s="476" t="s">
        <v>1519</v>
      </c>
      <c r="B1048" s="542">
        <v>76.599999999999994</v>
      </c>
      <c r="C1048" s="543">
        <v>64</v>
      </c>
      <c r="D1048" s="543">
        <v>21.7</v>
      </c>
      <c r="E1048" s="544">
        <v>14</v>
      </c>
      <c r="F1048" s="512"/>
      <c r="G1048" s="480"/>
      <c r="H1048" s="481"/>
      <c r="I1048" s="482"/>
      <c r="J1048" s="483">
        <v>17.910753839658661</v>
      </c>
      <c r="K1048" s="480">
        <v>2050</v>
      </c>
      <c r="L1048" s="481"/>
      <c r="M1048" s="482"/>
      <c r="N1048" s="483"/>
      <c r="O1048" s="513"/>
      <c r="P1048" s="514">
        <v>2504</v>
      </c>
      <c r="Q1048" s="486">
        <v>3.7</v>
      </c>
      <c r="R1048" s="485">
        <v>0.75</v>
      </c>
      <c r="S1048" s="515">
        <v>6.2</v>
      </c>
      <c r="T1048" s="516">
        <v>96.2</v>
      </c>
      <c r="U1048" s="490">
        <v>10</v>
      </c>
      <c r="V1048" s="373"/>
      <c r="W1048" s="391" t="s">
        <v>511</v>
      </c>
    </row>
    <row r="1049" spans="1:23">
      <c r="A1049" s="476" t="s">
        <v>1520</v>
      </c>
      <c r="B1049" s="542">
        <v>76.599999999999994</v>
      </c>
      <c r="C1049" s="543">
        <v>64</v>
      </c>
      <c r="D1049" s="543">
        <v>21.7</v>
      </c>
      <c r="E1049" s="544">
        <v>14</v>
      </c>
      <c r="F1049" s="512"/>
      <c r="G1049" s="480"/>
      <c r="H1049" s="481"/>
      <c r="I1049" s="482"/>
      <c r="J1049" s="483"/>
      <c r="K1049" s="480"/>
      <c r="L1049" s="481">
        <v>13.105153077224749</v>
      </c>
      <c r="M1049" s="482">
        <v>3800</v>
      </c>
      <c r="N1049" s="483"/>
      <c r="O1049" s="513"/>
      <c r="P1049" s="514">
        <v>4173</v>
      </c>
      <c r="Q1049" s="486">
        <v>3.7</v>
      </c>
      <c r="R1049" s="485">
        <v>0.75</v>
      </c>
      <c r="S1049" s="515">
        <v>6.2</v>
      </c>
      <c r="T1049" s="516">
        <v>96.2</v>
      </c>
      <c r="U1049" s="490">
        <v>10</v>
      </c>
      <c r="V1049" s="373"/>
      <c r="W1049" s="391" t="s">
        <v>511</v>
      </c>
    </row>
    <row r="1050" spans="1:23">
      <c r="A1050" s="476" t="s">
        <v>1521</v>
      </c>
      <c r="B1050" s="542">
        <v>76.599999999999994</v>
      </c>
      <c r="C1050" s="543">
        <v>64</v>
      </c>
      <c r="D1050" s="543">
        <v>21.7</v>
      </c>
      <c r="E1050" s="544">
        <v>14</v>
      </c>
      <c r="F1050" s="512"/>
      <c r="G1050" s="480"/>
      <c r="H1050" s="481"/>
      <c r="I1050" s="482"/>
      <c r="J1050" s="483"/>
      <c r="K1050" s="480"/>
      <c r="L1050" s="481"/>
      <c r="M1050" s="482"/>
      <c r="N1050" s="483">
        <v>10.26549382942725</v>
      </c>
      <c r="O1050" s="513">
        <v>4800</v>
      </c>
      <c r="P1050" s="514">
        <v>5007</v>
      </c>
      <c r="Q1050" s="486">
        <v>3.7</v>
      </c>
      <c r="R1050" s="485">
        <v>0.75</v>
      </c>
      <c r="S1050" s="515">
        <v>6.2</v>
      </c>
      <c r="T1050" s="516">
        <v>96.2</v>
      </c>
      <c r="U1050" s="490">
        <v>10</v>
      </c>
      <c r="V1050" s="373"/>
      <c r="W1050" s="391" t="s">
        <v>511</v>
      </c>
    </row>
    <row r="1051" spans="1:23">
      <c r="A1051" s="476" t="s">
        <v>1522</v>
      </c>
      <c r="B1051" s="542">
        <v>75.2</v>
      </c>
      <c r="C1051" s="543">
        <v>93</v>
      </c>
      <c r="D1051" s="543">
        <v>20.7</v>
      </c>
      <c r="E1051" s="544">
        <v>20.2</v>
      </c>
      <c r="F1051" s="512"/>
      <c r="G1051" s="480"/>
      <c r="H1051" s="481">
        <v>18.044877685729375</v>
      </c>
      <c r="I1051" s="482">
        <v>1450</v>
      </c>
      <c r="J1051" s="483"/>
      <c r="K1051" s="480"/>
      <c r="L1051" s="481"/>
      <c r="M1051" s="482"/>
      <c r="N1051" s="483"/>
      <c r="O1051" s="513"/>
      <c r="P1051" s="514">
        <v>1813</v>
      </c>
      <c r="Q1051" s="486">
        <v>3.7</v>
      </c>
      <c r="R1051" s="485">
        <v>0.36</v>
      </c>
      <c r="S1051" s="515">
        <v>2.8</v>
      </c>
      <c r="T1051" s="516">
        <v>63.6</v>
      </c>
      <c r="U1051" s="490">
        <v>10</v>
      </c>
      <c r="V1051" s="373"/>
      <c r="W1051" s="391" t="s">
        <v>511</v>
      </c>
    </row>
    <row r="1052" spans="1:23">
      <c r="A1052" s="476" t="s">
        <v>1523</v>
      </c>
      <c r="B1052" s="542">
        <v>75.2</v>
      </c>
      <c r="C1052" s="543">
        <v>93</v>
      </c>
      <c r="D1052" s="543">
        <v>20.7</v>
      </c>
      <c r="E1052" s="544">
        <v>20.2</v>
      </c>
      <c r="F1052" s="512"/>
      <c r="G1052" s="480"/>
      <c r="H1052" s="481"/>
      <c r="I1052" s="482"/>
      <c r="J1052" s="483">
        <v>14.724399251211478</v>
      </c>
      <c r="K1052" s="480">
        <v>3100</v>
      </c>
      <c r="L1052" s="481"/>
      <c r="M1052" s="482"/>
      <c r="N1052" s="483"/>
      <c r="O1052" s="513"/>
      <c r="P1052" s="514">
        <v>3783</v>
      </c>
      <c r="Q1052" s="486">
        <v>3.7</v>
      </c>
      <c r="R1052" s="485">
        <v>0.36</v>
      </c>
      <c r="S1052" s="515">
        <v>2.8</v>
      </c>
      <c r="T1052" s="516">
        <v>63.6</v>
      </c>
      <c r="U1052" s="490">
        <v>10</v>
      </c>
      <c r="V1052" s="373"/>
      <c r="W1052" s="391" t="s">
        <v>511</v>
      </c>
    </row>
    <row r="1053" spans="1:23">
      <c r="A1053" s="476" t="s">
        <v>1524</v>
      </c>
      <c r="B1053" s="542">
        <v>75.2</v>
      </c>
      <c r="C1053" s="543">
        <v>93</v>
      </c>
      <c r="D1053" s="543">
        <v>20.7</v>
      </c>
      <c r="E1053" s="544">
        <v>20.2</v>
      </c>
      <c r="F1053" s="512"/>
      <c r="G1053" s="480"/>
      <c r="H1053" s="481"/>
      <c r="I1053" s="482"/>
      <c r="J1053" s="483"/>
      <c r="K1053" s="480"/>
      <c r="L1053" s="481">
        <v>5.7009300615516914</v>
      </c>
      <c r="M1053" s="482">
        <v>5000</v>
      </c>
      <c r="N1053" s="483"/>
      <c r="O1053" s="513"/>
      <c r="P1053" s="514">
        <v>6305</v>
      </c>
      <c r="Q1053" s="486">
        <v>3.7</v>
      </c>
      <c r="R1053" s="485">
        <v>0.36</v>
      </c>
      <c r="S1053" s="515">
        <v>2.8</v>
      </c>
      <c r="T1053" s="516">
        <v>63.6</v>
      </c>
      <c r="U1053" s="490">
        <v>10</v>
      </c>
      <c r="V1053" s="373"/>
      <c r="W1053" s="391" t="s">
        <v>511</v>
      </c>
    </row>
    <row r="1054" spans="1:23">
      <c r="A1054" s="476" t="s">
        <v>1525</v>
      </c>
      <c r="B1054" s="542">
        <v>75.7</v>
      </c>
      <c r="C1054" s="543">
        <v>104</v>
      </c>
      <c r="D1054" s="543">
        <v>20</v>
      </c>
      <c r="E1054" s="544">
        <v>21.5</v>
      </c>
      <c r="F1054" s="512"/>
      <c r="G1054" s="480"/>
      <c r="H1054" s="481">
        <v>17.188733853924695</v>
      </c>
      <c r="I1054" s="482">
        <v>1550</v>
      </c>
      <c r="J1054" s="483"/>
      <c r="K1054" s="480"/>
      <c r="L1054" s="481"/>
      <c r="M1054" s="482"/>
      <c r="N1054" s="483"/>
      <c r="O1054" s="513"/>
      <c r="P1054" s="514">
        <v>1996</v>
      </c>
      <c r="Q1054" s="486">
        <v>3.7</v>
      </c>
      <c r="R1054" s="485">
        <v>0.32</v>
      </c>
      <c r="S1054" s="515">
        <v>2.2999999999999998</v>
      </c>
      <c r="T1054" s="516">
        <v>57.8</v>
      </c>
      <c r="U1054" s="490">
        <v>10</v>
      </c>
      <c r="V1054" s="373"/>
      <c r="W1054" s="391" t="s">
        <v>511</v>
      </c>
    </row>
    <row r="1055" spans="1:23">
      <c r="A1055" s="476" t="s">
        <v>1526</v>
      </c>
      <c r="B1055" s="542">
        <v>75.7</v>
      </c>
      <c r="C1055" s="543">
        <v>104</v>
      </c>
      <c r="D1055" s="543">
        <v>20</v>
      </c>
      <c r="E1055" s="544">
        <v>21.5</v>
      </c>
      <c r="F1055" s="512"/>
      <c r="G1055" s="480"/>
      <c r="H1055" s="481"/>
      <c r="I1055" s="482"/>
      <c r="J1055" s="483">
        <v>13.298799803649256</v>
      </c>
      <c r="K1055" s="480">
        <v>3400</v>
      </c>
      <c r="L1055" s="481"/>
      <c r="M1055" s="482"/>
      <c r="N1055" s="483"/>
      <c r="O1055" s="513"/>
      <c r="P1055" s="514">
        <v>4166</v>
      </c>
      <c r="Q1055" s="486">
        <v>3.7</v>
      </c>
      <c r="R1055" s="485">
        <v>0.32</v>
      </c>
      <c r="S1055" s="515">
        <v>2.2999999999999998</v>
      </c>
      <c r="T1055" s="516">
        <v>57.8</v>
      </c>
      <c r="U1055" s="490">
        <v>10</v>
      </c>
      <c r="V1055" s="373"/>
      <c r="W1055" s="391" t="s">
        <v>511</v>
      </c>
    </row>
    <row r="1056" spans="1:23">
      <c r="A1056" s="476" t="s">
        <v>1527</v>
      </c>
      <c r="B1056" s="542">
        <v>92.3</v>
      </c>
      <c r="C1056" s="543">
        <v>49</v>
      </c>
      <c r="D1056" s="543">
        <v>25.6</v>
      </c>
      <c r="E1056" s="544">
        <v>10.86</v>
      </c>
      <c r="F1056" s="512"/>
      <c r="G1056" s="480"/>
      <c r="H1056" s="481">
        <v>23.786429676643269</v>
      </c>
      <c r="I1056" s="482">
        <v>550</v>
      </c>
      <c r="J1056" s="483"/>
      <c r="K1056" s="480"/>
      <c r="L1056" s="481"/>
      <c r="M1056" s="482"/>
      <c r="N1056" s="483"/>
      <c r="O1056" s="513"/>
      <c r="P1056" s="514">
        <v>778</v>
      </c>
      <c r="Q1056" s="486">
        <v>4.4600000000000009</v>
      </c>
      <c r="R1056" s="485">
        <v>1.35</v>
      </c>
      <c r="S1056" s="515">
        <v>11</v>
      </c>
      <c r="T1056" s="516">
        <v>147</v>
      </c>
      <c r="U1056" s="490">
        <v>10</v>
      </c>
      <c r="V1056" s="373"/>
      <c r="W1056" s="391" t="s">
        <v>511</v>
      </c>
    </row>
    <row r="1057" spans="1:23">
      <c r="A1057" s="476" t="s">
        <v>1528</v>
      </c>
      <c r="B1057" s="542">
        <v>92.3</v>
      </c>
      <c r="C1057" s="543">
        <v>49</v>
      </c>
      <c r="D1057" s="543">
        <v>25.6</v>
      </c>
      <c r="E1057" s="544">
        <v>10.86</v>
      </c>
      <c r="F1057" s="512"/>
      <c r="G1057" s="480"/>
      <c r="H1057" s="481"/>
      <c r="I1057" s="482"/>
      <c r="J1057" s="483">
        <v>22.612734314496489</v>
      </c>
      <c r="K1057" s="480">
        <v>1250</v>
      </c>
      <c r="L1057" s="481"/>
      <c r="M1057" s="482"/>
      <c r="N1057" s="483"/>
      <c r="O1057" s="513"/>
      <c r="P1057" s="514">
        <v>1633</v>
      </c>
      <c r="Q1057" s="486">
        <v>4.4600000000000009</v>
      </c>
      <c r="R1057" s="485">
        <v>1.35</v>
      </c>
      <c r="S1057" s="515">
        <v>11</v>
      </c>
      <c r="T1057" s="516">
        <v>147</v>
      </c>
      <c r="U1057" s="490">
        <v>10</v>
      </c>
      <c r="V1057" s="373"/>
      <c r="W1057" s="391" t="s">
        <v>511</v>
      </c>
    </row>
    <row r="1058" spans="1:23">
      <c r="A1058" s="476" t="s">
        <v>1529</v>
      </c>
      <c r="B1058" s="542">
        <v>92.3</v>
      </c>
      <c r="C1058" s="543">
        <v>49</v>
      </c>
      <c r="D1058" s="543">
        <v>25.6</v>
      </c>
      <c r="E1058" s="544">
        <v>10.86</v>
      </c>
      <c r="F1058" s="512"/>
      <c r="G1058" s="480"/>
      <c r="H1058" s="481"/>
      <c r="I1058" s="482"/>
      <c r="J1058" s="483"/>
      <c r="K1058" s="480"/>
      <c r="L1058" s="481">
        <v>20.136560191191975</v>
      </c>
      <c r="M1058" s="482">
        <v>2300</v>
      </c>
      <c r="N1058" s="483"/>
      <c r="O1058" s="513"/>
      <c r="P1058" s="514">
        <v>2721</v>
      </c>
      <c r="Q1058" s="486">
        <v>4.4600000000000009</v>
      </c>
      <c r="R1058" s="485">
        <v>1.35</v>
      </c>
      <c r="S1058" s="515">
        <v>11</v>
      </c>
      <c r="T1058" s="516">
        <v>147</v>
      </c>
      <c r="U1058" s="490">
        <v>10</v>
      </c>
      <c r="V1058" s="373"/>
      <c r="W1058" s="391" t="s">
        <v>511</v>
      </c>
    </row>
    <row r="1059" spans="1:23">
      <c r="A1059" s="476" t="s">
        <v>1530</v>
      </c>
      <c r="B1059" s="542">
        <v>92.3</v>
      </c>
      <c r="C1059" s="543">
        <v>49</v>
      </c>
      <c r="D1059" s="543">
        <v>25.6</v>
      </c>
      <c r="E1059" s="544">
        <v>10.86</v>
      </c>
      <c r="F1059" s="512"/>
      <c r="G1059" s="480"/>
      <c r="H1059" s="481"/>
      <c r="I1059" s="482"/>
      <c r="J1059" s="483"/>
      <c r="K1059" s="480"/>
      <c r="L1059" s="481"/>
      <c r="M1059" s="482"/>
      <c r="N1059" s="483">
        <v>18.416500557776462</v>
      </c>
      <c r="O1059" s="513">
        <v>2800</v>
      </c>
      <c r="P1059" s="514">
        <v>3266</v>
      </c>
      <c r="Q1059" s="486">
        <v>4.4600000000000009</v>
      </c>
      <c r="R1059" s="485">
        <v>1.35</v>
      </c>
      <c r="S1059" s="515">
        <v>11</v>
      </c>
      <c r="T1059" s="516">
        <v>147</v>
      </c>
      <c r="U1059" s="490">
        <v>10</v>
      </c>
      <c r="V1059" s="373"/>
      <c r="W1059" s="391" t="s">
        <v>511</v>
      </c>
    </row>
    <row r="1060" spans="1:23">
      <c r="A1060" s="476" t="s">
        <v>1531</v>
      </c>
      <c r="B1060" s="542">
        <v>93</v>
      </c>
      <c r="C1060" s="543">
        <v>61</v>
      </c>
      <c r="D1060" s="543">
        <v>25.9</v>
      </c>
      <c r="E1060" s="544">
        <v>13.3</v>
      </c>
      <c r="F1060" s="512"/>
      <c r="G1060" s="480"/>
      <c r="H1060" s="481">
        <v>23.708598419206478</v>
      </c>
      <c r="I1060" s="482">
        <v>725</v>
      </c>
      <c r="J1060" s="483"/>
      <c r="K1060" s="480"/>
      <c r="L1060" s="481"/>
      <c r="M1060" s="482"/>
      <c r="N1060" s="483"/>
      <c r="O1060" s="513"/>
      <c r="P1060" s="514">
        <v>948</v>
      </c>
      <c r="Q1060" s="486">
        <v>4.4600000000000009</v>
      </c>
      <c r="R1060" s="485">
        <v>0.9</v>
      </c>
      <c r="S1060" s="515">
        <v>7.6</v>
      </c>
      <c r="T1060" s="516">
        <v>122</v>
      </c>
      <c r="U1060" s="490">
        <v>10</v>
      </c>
      <c r="V1060" s="373"/>
      <c r="W1060" s="391" t="s">
        <v>511</v>
      </c>
    </row>
    <row r="1061" spans="1:23">
      <c r="A1061" s="476" t="s">
        <v>1532</v>
      </c>
      <c r="B1061" s="542">
        <v>93</v>
      </c>
      <c r="C1061" s="543">
        <v>61</v>
      </c>
      <c r="D1061" s="543">
        <v>25.9</v>
      </c>
      <c r="E1061" s="544">
        <v>13.3</v>
      </c>
      <c r="F1061" s="512"/>
      <c r="G1061" s="480"/>
      <c r="H1061" s="481"/>
      <c r="I1061" s="482"/>
      <c r="J1061" s="483">
        <v>22.117403059351133</v>
      </c>
      <c r="K1061" s="480">
        <v>1550</v>
      </c>
      <c r="L1061" s="481"/>
      <c r="M1061" s="482"/>
      <c r="N1061" s="483"/>
      <c r="O1061" s="513"/>
      <c r="P1061" s="514">
        <v>1984</v>
      </c>
      <c r="Q1061" s="486">
        <v>4.4600000000000009</v>
      </c>
      <c r="R1061" s="485">
        <v>0.9</v>
      </c>
      <c r="S1061" s="515">
        <v>7.6</v>
      </c>
      <c r="T1061" s="516">
        <v>122</v>
      </c>
      <c r="U1061" s="490">
        <v>10</v>
      </c>
      <c r="V1061" s="373"/>
      <c r="W1061" s="391" t="s">
        <v>511</v>
      </c>
    </row>
    <row r="1062" spans="1:23">
      <c r="A1062" s="476" t="s">
        <v>1533</v>
      </c>
      <c r="B1062" s="542">
        <v>93</v>
      </c>
      <c r="C1062" s="543">
        <v>61</v>
      </c>
      <c r="D1062" s="543">
        <v>25.9</v>
      </c>
      <c r="E1062" s="544">
        <v>13.3</v>
      </c>
      <c r="F1062" s="512"/>
      <c r="G1062" s="480"/>
      <c r="H1062" s="481"/>
      <c r="I1062" s="482"/>
      <c r="J1062" s="483"/>
      <c r="K1062" s="480"/>
      <c r="L1062" s="481">
        <v>18.327948183424581</v>
      </c>
      <c r="M1062" s="482">
        <v>2850</v>
      </c>
      <c r="N1062" s="483"/>
      <c r="O1062" s="513"/>
      <c r="P1062" s="514">
        <v>3307</v>
      </c>
      <c r="Q1062" s="486">
        <v>4.4600000000000009</v>
      </c>
      <c r="R1062" s="485">
        <v>0.9</v>
      </c>
      <c r="S1062" s="515">
        <v>7.6</v>
      </c>
      <c r="T1062" s="516">
        <v>122</v>
      </c>
      <c r="U1062" s="490">
        <v>10</v>
      </c>
      <c r="V1062" s="373"/>
      <c r="W1062" s="391" t="s">
        <v>511</v>
      </c>
    </row>
    <row r="1063" spans="1:23">
      <c r="A1063" s="476" t="s">
        <v>1534</v>
      </c>
      <c r="B1063" s="542">
        <v>93</v>
      </c>
      <c r="C1063" s="543">
        <v>61</v>
      </c>
      <c r="D1063" s="543">
        <v>25.9</v>
      </c>
      <c r="E1063" s="544">
        <v>13.3</v>
      </c>
      <c r="F1063" s="512"/>
      <c r="G1063" s="480"/>
      <c r="H1063" s="481"/>
      <c r="I1063" s="482"/>
      <c r="J1063" s="483"/>
      <c r="K1063" s="480"/>
      <c r="L1063" s="481"/>
      <c r="M1063" s="482"/>
      <c r="N1063" s="483">
        <v>16.149545696089383</v>
      </c>
      <c r="O1063" s="513">
        <v>3400</v>
      </c>
      <c r="P1063" s="514">
        <v>3968</v>
      </c>
      <c r="Q1063" s="486">
        <v>4.4600000000000009</v>
      </c>
      <c r="R1063" s="485">
        <v>0.9</v>
      </c>
      <c r="S1063" s="515">
        <v>7.6</v>
      </c>
      <c r="T1063" s="516">
        <v>122</v>
      </c>
      <c r="U1063" s="490">
        <v>10</v>
      </c>
      <c r="V1063" s="373"/>
      <c r="W1063" s="391" t="s">
        <v>511</v>
      </c>
    </row>
    <row r="1064" spans="1:23">
      <c r="A1064" s="476" t="s">
        <v>1535</v>
      </c>
      <c r="B1064" s="542">
        <v>93</v>
      </c>
      <c r="C1064" s="543">
        <v>68</v>
      </c>
      <c r="D1064" s="543">
        <v>25.3</v>
      </c>
      <c r="E1064" s="544">
        <v>14.7</v>
      </c>
      <c r="F1064" s="512"/>
      <c r="G1064" s="480"/>
      <c r="H1064" s="481">
        <v>22.977994908892388</v>
      </c>
      <c r="I1064" s="482">
        <v>800</v>
      </c>
      <c r="J1064" s="483"/>
      <c r="K1064" s="480"/>
      <c r="L1064" s="481"/>
      <c r="M1064" s="482"/>
      <c r="N1064" s="483"/>
      <c r="O1064" s="513"/>
      <c r="P1064" s="514">
        <v>1080</v>
      </c>
      <c r="Q1064" s="486">
        <v>4.4600000000000009</v>
      </c>
      <c r="R1064" s="485">
        <v>0.73</v>
      </c>
      <c r="S1064" s="515">
        <v>6.1</v>
      </c>
      <c r="T1064" s="516">
        <v>107</v>
      </c>
      <c r="U1064" s="490">
        <v>10</v>
      </c>
      <c r="V1064" s="373"/>
      <c r="W1064" s="391" t="s">
        <v>511</v>
      </c>
    </row>
    <row r="1065" spans="1:23">
      <c r="A1065" s="476" t="s">
        <v>1536</v>
      </c>
      <c r="B1065" s="542">
        <v>93</v>
      </c>
      <c r="C1065" s="543">
        <v>68</v>
      </c>
      <c r="D1065" s="543">
        <v>25.3</v>
      </c>
      <c r="E1065" s="544">
        <v>14.7</v>
      </c>
      <c r="F1065" s="512"/>
      <c r="G1065" s="480"/>
      <c r="H1065" s="481"/>
      <c r="I1065" s="482"/>
      <c r="J1065" s="483">
        <v>21.088029959676135</v>
      </c>
      <c r="K1065" s="480">
        <v>1800</v>
      </c>
      <c r="L1065" s="481"/>
      <c r="M1065" s="482"/>
      <c r="N1065" s="483"/>
      <c r="O1065" s="513"/>
      <c r="P1065" s="514">
        <v>2260</v>
      </c>
      <c r="Q1065" s="486">
        <v>4.4600000000000009</v>
      </c>
      <c r="R1065" s="485">
        <v>0.73</v>
      </c>
      <c r="S1065" s="515">
        <v>6.1</v>
      </c>
      <c r="T1065" s="516">
        <v>107</v>
      </c>
      <c r="U1065" s="490">
        <v>10</v>
      </c>
      <c r="V1065" s="373"/>
      <c r="W1065" s="391" t="s">
        <v>511</v>
      </c>
    </row>
    <row r="1066" spans="1:23">
      <c r="A1066" s="476" t="s">
        <v>1537</v>
      </c>
      <c r="B1066" s="542">
        <v>93</v>
      </c>
      <c r="C1066" s="543">
        <v>68</v>
      </c>
      <c r="D1066" s="543">
        <v>25.3</v>
      </c>
      <c r="E1066" s="544">
        <v>14.7</v>
      </c>
      <c r="F1066" s="512"/>
      <c r="G1066" s="480"/>
      <c r="H1066" s="481"/>
      <c r="I1066" s="482"/>
      <c r="J1066" s="483"/>
      <c r="K1066" s="480"/>
      <c r="L1066" s="481">
        <v>16.14699240823229</v>
      </c>
      <c r="M1066" s="482">
        <v>3300</v>
      </c>
      <c r="N1066" s="483"/>
      <c r="O1066" s="513"/>
      <c r="P1066" s="514">
        <v>3766</v>
      </c>
      <c r="Q1066" s="486">
        <v>4.4600000000000009</v>
      </c>
      <c r="R1066" s="485">
        <v>0.73</v>
      </c>
      <c r="S1066" s="515">
        <v>6.1</v>
      </c>
      <c r="T1066" s="516">
        <v>107</v>
      </c>
      <c r="U1066" s="490">
        <v>10</v>
      </c>
      <c r="V1066" s="373"/>
      <c r="W1066" s="391" t="s">
        <v>511</v>
      </c>
    </row>
    <row r="1067" spans="1:23">
      <c r="A1067" s="476" t="s">
        <v>1538</v>
      </c>
      <c r="B1067" s="542">
        <v>93</v>
      </c>
      <c r="C1067" s="543">
        <v>68</v>
      </c>
      <c r="D1067" s="543">
        <v>25.3</v>
      </c>
      <c r="E1067" s="544">
        <v>14.7</v>
      </c>
      <c r="F1067" s="512"/>
      <c r="G1067" s="480"/>
      <c r="H1067" s="481"/>
      <c r="I1067" s="482"/>
      <c r="J1067" s="483"/>
      <c r="K1067" s="480"/>
      <c r="L1067" s="481"/>
      <c r="M1067" s="482"/>
      <c r="N1067" s="483">
        <v>11.206042017217307</v>
      </c>
      <c r="O1067" s="513">
        <v>4150</v>
      </c>
      <c r="P1067" s="514">
        <v>4520</v>
      </c>
      <c r="Q1067" s="486">
        <v>4.4600000000000009</v>
      </c>
      <c r="R1067" s="485">
        <v>0.73</v>
      </c>
      <c r="S1067" s="515">
        <v>6.1</v>
      </c>
      <c r="T1067" s="516">
        <v>107</v>
      </c>
      <c r="U1067" s="490">
        <v>10</v>
      </c>
      <c r="V1067" s="373"/>
      <c r="W1067" s="391" t="s">
        <v>511</v>
      </c>
    </row>
    <row r="1068" spans="1:23">
      <c r="A1068" s="476" t="s">
        <v>1539</v>
      </c>
      <c r="B1068" s="542">
        <v>91.5</v>
      </c>
      <c r="C1068" s="543">
        <v>89</v>
      </c>
      <c r="D1068" s="543">
        <v>24.7</v>
      </c>
      <c r="E1068" s="544">
        <v>19.2</v>
      </c>
      <c r="F1068" s="512"/>
      <c r="G1068" s="480"/>
      <c r="H1068" s="481">
        <v>21.838826104261813</v>
      </c>
      <c r="I1068" s="482">
        <v>1150</v>
      </c>
      <c r="J1068" s="483"/>
      <c r="K1068" s="480"/>
      <c r="L1068" s="481"/>
      <c r="M1068" s="482"/>
      <c r="N1068" s="483"/>
      <c r="O1068" s="513"/>
      <c r="P1068" s="514">
        <v>1443</v>
      </c>
      <c r="Q1068" s="486">
        <v>4.4600000000000009</v>
      </c>
      <c r="R1068" s="485">
        <v>0.43</v>
      </c>
      <c r="S1068" s="515">
        <v>3.4</v>
      </c>
      <c r="T1068" s="516">
        <v>80</v>
      </c>
      <c r="U1068" s="490">
        <v>10</v>
      </c>
      <c r="V1068" s="373"/>
      <c r="W1068" s="391" t="s">
        <v>511</v>
      </c>
    </row>
    <row r="1069" spans="1:23">
      <c r="A1069" s="476" t="s">
        <v>1540</v>
      </c>
      <c r="B1069" s="542">
        <v>91.5</v>
      </c>
      <c r="C1069" s="543">
        <v>89</v>
      </c>
      <c r="D1069" s="543">
        <v>24.7</v>
      </c>
      <c r="E1069" s="544">
        <v>19.2</v>
      </c>
      <c r="F1069" s="512"/>
      <c r="G1069" s="480"/>
      <c r="H1069" s="481"/>
      <c r="I1069" s="482"/>
      <c r="J1069" s="483">
        <v>18.65932552809381</v>
      </c>
      <c r="K1069" s="480">
        <v>2500</v>
      </c>
      <c r="L1069" s="481"/>
      <c r="M1069" s="482"/>
      <c r="N1069" s="483"/>
      <c r="O1069" s="513"/>
      <c r="P1069" s="514">
        <v>3015</v>
      </c>
      <c r="Q1069" s="486">
        <v>4.4600000000000009</v>
      </c>
      <c r="R1069" s="485">
        <v>0.43</v>
      </c>
      <c r="S1069" s="515">
        <v>3.4</v>
      </c>
      <c r="T1069" s="516">
        <v>80</v>
      </c>
      <c r="U1069" s="490">
        <v>10</v>
      </c>
      <c r="V1069" s="373"/>
      <c r="W1069" s="391" t="s">
        <v>511</v>
      </c>
    </row>
    <row r="1070" spans="1:23">
      <c r="A1070" s="476" t="s">
        <v>1541</v>
      </c>
      <c r="B1070" s="542">
        <v>91.5</v>
      </c>
      <c r="C1070" s="543">
        <v>89</v>
      </c>
      <c r="D1070" s="543">
        <v>24.7</v>
      </c>
      <c r="E1070" s="544">
        <v>19.2</v>
      </c>
      <c r="F1070" s="512"/>
      <c r="G1070" s="480"/>
      <c r="H1070" s="481"/>
      <c r="I1070" s="482"/>
      <c r="J1070" s="483"/>
      <c r="K1070" s="480"/>
      <c r="L1070" s="481">
        <v>10.111019914073351</v>
      </c>
      <c r="M1070" s="482">
        <v>4250</v>
      </c>
      <c r="N1070" s="483"/>
      <c r="O1070" s="513"/>
      <c r="P1070" s="514">
        <v>5025</v>
      </c>
      <c r="Q1070" s="486">
        <v>4.4600000000000009</v>
      </c>
      <c r="R1070" s="485">
        <v>0.43</v>
      </c>
      <c r="S1070" s="515">
        <v>3.4</v>
      </c>
      <c r="T1070" s="516">
        <v>80</v>
      </c>
      <c r="U1070" s="490">
        <v>10</v>
      </c>
      <c r="V1070" s="373"/>
      <c r="W1070" s="391" t="s">
        <v>511</v>
      </c>
    </row>
    <row r="1071" spans="1:23">
      <c r="A1071" s="476" t="s">
        <v>1542</v>
      </c>
      <c r="B1071" s="542">
        <v>92.1</v>
      </c>
      <c r="C1071" s="543">
        <v>98.8</v>
      </c>
      <c r="D1071" s="543">
        <v>24.7</v>
      </c>
      <c r="E1071" s="544">
        <v>20.7</v>
      </c>
      <c r="F1071" s="512"/>
      <c r="G1071" s="480"/>
      <c r="H1071" s="481">
        <v>22.042959618227506</v>
      </c>
      <c r="I1071" s="482">
        <v>1200</v>
      </c>
      <c r="J1071" s="483"/>
      <c r="K1071" s="480"/>
      <c r="L1071" s="481"/>
      <c r="M1071" s="482"/>
      <c r="N1071" s="483"/>
      <c r="O1071" s="513"/>
      <c r="P1071" s="514">
        <v>1536</v>
      </c>
      <c r="Q1071" s="486">
        <v>4.4600000000000009</v>
      </c>
      <c r="R1071" s="485">
        <v>0.37</v>
      </c>
      <c r="S1071" s="515">
        <v>2.8</v>
      </c>
      <c r="T1071" s="516">
        <v>75</v>
      </c>
      <c r="U1071" s="490">
        <v>10</v>
      </c>
      <c r="V1071" s="373"/>
      <c r="W1071" s="391" t="s">
        <v>511</v>
      </c>
    </row>
    <row r="1072" spans="1:23">
      <c r="A1072" s="476" t="s">
        <v>1543</v>
      </c>
      <c r="B1072" s="542">
        <v>92.1</v>
      </c>
      <c r="C1072" s="543">
        <v>98.8</v>
      </c>
      <c r="D1072" s="543">
        <v>24.7</v>
      </c>
      <c r="E1072" s="544">
        <v>20.7</v>
      </c>
      <c r="F1072" s="512"/>
      <c r="G1072" s="480"/>
      <c r="H1072" s="481"/>
      <c r="I1072" s="482"/>
      <c r="J1072" s="483">
        <v>18.657856405542191</v>
      </c>
      <c r="K1072" s="480">
        <v>2600</v>
      </c>
      <c r="L1072" s="481"/>
      <c r="M1072" s="482"/>
      <c r="N1072" s="483"/>
      <c r="O1072" s="513"/>
      <c r="P1072" s="514">
        <v>3208</v>
      </c>
      <c r="Q1072" s="486">
        <v>4.4600000000000009</v>
      </c>
      <c r="R1072" s="485">
        <v>0.37</v>
      </c>
      <c r="S1072" s="515">
        <v>2.8</v>
      </c>
      <c r="T1072" s="516">
        <v>75</v>
      </c>
      <c r="U1072" s="490">
        <v>10</v>
      </c>
      <c r="V1072" s="373"/>
      <c r="W1072" s="391" t="s">
        <v>511</v>
      </c>
    </row>
    <row r="1073" spans="1:23">
      <c r="A1073" s="476" t="s">
        <v>1544</v>
      </c>
      <c r="B1073" s="542">
        <v>92.1</v>
      </c>
      <c r="C1073" s="543">
        <v>98.8</v>
      </c>
      <c r="D1073" s="543">
        <v>24.7</v>
      </c>
      <c r="E1073" s="544">
        <v>20.7</v>
      </c>
      <c r="F1073" s="512"/>
      <c r="G1073" s="480"/>
      <c r="H1073" s="481"/>
      <c r="I1073" s="482"/>
      <c r="J1073" s="483"/>
      <c r="K1073" s="480"/>
      <c r="L1073" s="481">
        <v>6.8402026628842849</v>
      </c>
      <c r="M1073" s="482">
        <v>4600</v>
      </c>
      <c r="N1073" s="483"/>
      <c r="O1073" s="513"/>
      <c r="P1073" s="514">
        <v>5347</v>
      </c>
      <c r="Q1073" s="486">
        <v>4.4600000000000009</v>
      </c>
      <c r="R1073" s="485">
        <v>0.37</v>
      </c>
      <c r="S1073" s="515">
        <v>2.8</v>
      </c>
      <c r="T1073" s="516">
        <v>75</v>
      </c>
      <c r="U1073" s="490">
        <v>10</v>
      </c>
      <c r="V1073" s="373"/>
      <c r="W1073" s="391" t="s">
        <v>511</v>
      </c>
    </row>
    <row r="1074" spans="1:23">
      <c r="A1074" s="476" t="s">
        <v>1545</v>
      </c>
      <c r="B1074" s="542">
        <v>118</v>
      </c>
      <c r="C1074" s="543">
        <v>46.5</v>
      </c>
      <c r="D1074" s="543">
        <v>30.7</v>
      </c>
      <c r="E1074" s="544">
        <v>10.24</v>
      </c>
      <c r="F1074" s="512"/>
      <c r="G1074" s="480"/>
      <c r="H1074" s="481">
        <v>28.329579870357374</v>
      </c>
      <c r="I1074" s="482">
        <v>450</v>
      </c>
      <c r="J1074" s="483"/>
      <c r="K1074" s="480"/>
      <c r="L1074" s="481"/>
      <c r="M1074" s="482"/>
      <c r="N1074" s="483"/>
      <c r="O1074" s="513"/>
      <c r="P1074" s="514">
        <v>617</v>
      </c>
      <c r="Q1074" s="486">
        <v>8.35</v>
      </c>
      <c r="R1074" s="485">
        <v>1.36</v>
      </c>
      <c r="S1074" s="515">
        <v>21</v>
      </c>
      <c r="T1074" s="516">
        <v>187</v>
      </c>
      <c r="U1074" s="490">
        <v>10</v>
      </c>
      <c r="V1074" s="373"/>
      <c r="W1074" s="391" t="s">
        <v>511</v>
      </c>
    </row>
    <row r="1075" spans="1:23">
      <c r="A1075" s="476" t="s">
        <v>1546</v>
      </c>
      <c r="B1075" s="542">
        <v>118</v>
      </c>
      <c r="C1075" s="543">
        <v>46.5</v>
      </c>
      <c r="D1075" s="543">
        <v>30.7</v>
      </c>
      <c r="E1075" s="544">
        <v>10.24</v>
      </c>
      <c r="F1075" s="512"/>
      <c r="G1075" s="480"/>
      <c r="H1075" s="481"/>
      <c r="I1075" s="482"/>
      <c r="J1075" s="483">
        <v>27.341143907997175</v>
      </c>
      <c r="K1075" s="480">
        <v>950</v>
      </c>
      <c r="L1075" s="481"/>
      <c r="M1075" s="482"/>
      <c r="N1075" s="483"/>
      <c r="O1075" s="513"/>
      <c r="P1075" s="514">
        <v>1293</v>
      </c>
      <c r="Q1075" s="486">
        <v>8.35</v>
      </c>
      <c r="R1075" s="485">
        <v>1.36</v>
      </c>
      <c r="S1075" s="515">
        <v>21</v>
      </c>
      <c r="T1075" s="516">
        <v>187</v>
      </c>
      <c r="U1075" s="490">
        <v>10</v>
      </c>
      <c r="V1075" s="373"/>
      <c r="W1075" s="391" t="s">
        <v>511</v>
      </c>
    </row>
    <row r="1076" spans="1:23">
      <c r="A1076" s="476" t="s">
        <v>1547</v>
      </c>
      <c r="B1076" s="542">
        <v>118</v>
      </c>
      <c r="C1076" s="543">
        <v>46.5</v>
      </c>
      <c r="D1076" s="543">
        <v>30.7</v>
      </c>
      <c r="E1076" s="544">
        <v>10.24</v>
      </c>
      <c r="F1076" s="512"/>
      <c r="G1076" s="480"/>
      <c r="H1076" s="481"/>
      <c r="I1076" s="482"/>
      <c r="J1076" s="483"/>
      <c r="K1076" s="480"/>
      <c r="L1076" s="481">
        <v>24.99187334951591</v>
      </c>
      <c r="M1076" s="482">
        <v>1750</v>
      </c>
      <c r="N1076" s="483"/>
      <c r="O1076" s="513"/>
      <c r="P1076" s="514">
        <v>2155</v>
      </c>
      <c r="Q1076" s="486">
        <v>8.35</v>
      </c>
      <c r="R1076" s="485">
        <v>1.36</v>
      </c>
      <c r="S1076" s="515">
        <v>21</v>
      </c>
      <c r="T1076" s="516">
        <v>187</v>
      </c>
      <c r="U1076" s="490">
        <v>10</v>
      </c>
      <c r="V1076" s="373"/>
      <c r="W1076" s="391" t="s">
        <v>511</v>
      </c>
    </row>
    <row r="1077" spans="1:23">
      <c r="A1077" s="476" t="s">
        <v>1548</v>
      </c>
      <c r="B1077" s="542">
        <v>118</v>
      </c>
      <c r="C1077" s="543">
        <v>46.5</v>
      </c>
      <c r="D1077" s="543">
        <v>30.7</v>
      </c>
      <c r="E1077" s="544">
        <v>10.24</v>
      </c>
      <c r="F1077" s="512"/>
      <c r="G1077" s="480"/>
      <c r="H1077" s="481"/>
      <c r="I1077" s="482"/>
      <c r="J1077" s="483"/>
      <c r="K1077" s="480"/>
      <c r="L1077" s="481"/>
      <c r="M1077" s="482"/>
      <c r="N1077" s="483">
        <v>23.64587725936731</v>
      </c>
      <c r="O1077" s="513">
        <v>2100</v>
      </c>
      <c r="P1077" s="514">
        <v>2586</v>
      </c>
      <c r="Q1077" s="486">
        <v>8.35</v>
      </c>
      <c r="R1077" s="485">
        <v>1.36</v>
      </c>
      <c r="S1077" s="515">
        <v>21</v>
      </c>
      <c r="T1077" s="516">
        <v>187</v>
      </c>
      <c r="U1077" s="490">
        <v>10</v>
      </c>
      <c r="V1077" s="373"/>
      <c r="W1077" s="391" t="s">
        <v>511</v>
      </c>
    </row>
    <row r="1078" spans="1:23">
      <c r="A1078" s="476" t="s">
        <v>1549</v>
      </c>
      <c r="B1078" s="542">
        <v>118</v>
      </c>
      <c r="C1078" s="543">
        <v>57.5</v>
      </c>
      <c r="D1078" s="543">
        <v>30.2</v>
      </c>
      <c r="E1078" s="544">
        <v>12.5</v>
      </c>
      <c r="F1078" s="512"/>
      <c r="G1078" s="480"/>
      <c r="H1078" s="481">
        <v>27.738432938873189</v>
      </c>
      <c r="I1078" s="482">
        <v>525</v>
      </c>
      <c r="J1078" s="483"/>
      <c r="K1078" s="480"/>
      <c r="L1078" s="481"/>
      <c r="M1078" s="482"/>
      <c r="N1078" s="483"/>
      <c r="O1078" s="513"/>
      <c r="P1078" s="514">
        <v>763</v>
      </c>
      <c r="Q1078" s="486">
        <v>8.35</v>
      </c>
      <c r="R1078" s="485">
        <v>0.92</v>
      </c>
      <c r="S1078" s="515">
        <v>14</v>
      </c>
      <c r="T1078" s="516">
        <v>150</v>
      </c>
      <c r="U1078" s="490">
        <v>10</v>
      </c>
      <c r="V1078" s="373"/>
      <c r="W1078" s="391" t="s">
        <v>511</v>
      </c>
    </row>
    <row r="1079" spans="1:23">
      <c r="A1079" s="476" t="s">
        <v>1550</v>
      </c>
      <c r="B1079" s="542">
        <v>118</v>
      </c>
      <c r="C1079" s="543">
        <v>57.5</v>
      </c>
      <c r="D1079" s="543">
        <v>30.2</v>
      </c>
      <c r="E1079" s="544">
        <v>12.5</v>
      </c>
      <c r="F1079" s="512"/>
      <c r="G1079" s="480"/>
      <c r="H1079" s="481"/>
      <c r="I1079" s="482"/>
      <c r="J1079" s="483">
        <v>26.101410667070837</v>
      </c>
      <c r="K1079" s="480">
        <v>1200</v>
      </c>
      <c r="L1079" s="481"/>
      <c r="M1079" s="482"/>
      <c r="N1079" s="483"/>
      <c r="O1079" s="513"/>
      <c r="P1079" s="514">
        <v>1596</v>
      </c>
      <c r="Q1079" s="486">
        <v>8.35</v>
      </c>
      <c r="R1079" s="485">
        <v>0.92</v>
      </c>
      <c r="S1079" s="515">
        <v>14</v>
      </c>
      <c r="T1079" s="516">
        <v>150</v>
      </c>
      <c r="U1079" s="490">
        <v>10</v>
      </c>
      <c r="V1079" s="373"/>
      <c r="W1079" s="391" t="s">
        <v>511</v>
      </c>
    </row>
    <row r="1080" spans="1:23">
      <c r="A1080" s="476" t="s">
        <v>1551</v>
      </c>
      <c r="B1080" s="542">
        <v>118</v>
      </c>
      <c r="C1080" s="543">
        <v>57.5</v>
      </c>
      <c r="D1080" s="543">
        <v>30.2</v>
      </c>
      <c r="E1080" s="544">
        <v>12.5</v>
      </c>
      <c r="F1080" s="512"/>
      <c r="G1080" s="480"/>
      <c r="H1080" s="481"/>
      <c r="I1080" s="482"/>
      <c r="J1080" s="483"/>
      <c r="K1080" s="480"/>
      <c r="L1080" s="481">
        <v>23.09597313705644</v>
      </c>
      <c r="M1080" s="482">
        <v>2150</v>
      </c>
      <c r="N1080" s="483"/>
      <c r="O1080" s="513"/>
      <c r="P1080" s="514">
        <v>2660</v>
      </c>
      <c r="Q1080" s="486">
        <v>8.35</v>
      </c>
      <c r="R1080" s="485">
        <v>0.92</v>
      </c>
      <c r="S1080" s="515">
        <v>14</v>
      </c>
      <c r="T1080" s="516">
        <v>150</v>
      </c>
      <c r="U1080" s="490">
        <v>10</v>
      </c>
      <c r="V1080" s="373"/>
      <c r="W1080" s="391" t="s">
        <v>511</v>
      </c>
    </row>
    <row r="1081" spans="1:23">
      <c r="A1081" s="476" t="s">
        <v>1552</v>
      </c>
      <c r="B1081" s="542">
        <v>118</v>
      </c>
      <c r="C1081" s="543">
        <v>57.5</v>
      </c>
      <c r="D1081" s="543">
        <v>30.2</v>
      </c>
      <c r="E1081" s="544">
        <v>12.5</v>
      </c>
      <c r="F1081" s="512"/>
      <c r="G1081" s="480"/>
      <c r="H1081" s="481"/>
      <c r="I1081" s="482"/>
      <c r="J1081" s="483"/>
      <c r="K1081" s="480"/>
      <c r="L1081" s="481"/>
      <c r="M1081" s="482"/>
      <c r="N1081" s="483">
        <v>20.720171836492035</v>
      </c>
      <c r="O1081" s="513">
        <v>2650</v>
      </c>
      <c r="P1081" s="514">
        <v>3192</v>
      </c>
      <c r="Q1081" s="486">
        <v>8.35</v>
      </c>
      <c r="R1081" s="485">
        <v>0.92</v>
      </c>
      <c r="S1081" s="515">
        <v>14</v>
      </c>
      <c r="T1081" s="516">
        <v>150</v>
      </c>
      <c r="U1081" s="490">
        <v>10</v>
      </c>
      <c r="V1081" s="373"/>
      <c r="W1081" s="391" t="s">
        <v>511</v>
      </c>
    </row>
    <row r="1082" spans="1:23">
      <c r="A1082" s="476" t="s">
        <v>1553</v>
      </c>
      <c r="B1082" s="542">
        <v>119</v>
      </c>
      <c r="C1082" s="543">
        <v>65</v>
      </c>
      <c r="D1082" s="543">
        <v>31.3</v>
      </c>
      <c r="E1082" s="544">
        <v>14.3</v>
      </c>
      <c r="F1082" s="512"/>
      <c r="G1082" s="480"/>
      <c r="H1082" s="481">
        <v>28.427521373798537</v>
      </c>
      <c r="I1082" s="482">
        <v>650</v>
      </c>
      <c r="J1082" s="483"/>
      <c r="K1082" s="480"/>
      <c r="L1082" s="481"/>
      <c r="M1082" s="482"/>
      <c r="N1082" s="483"/>
      <c r="O1082" s="513"/>
      <c r="P1082" s="514">
        <v>854</v>
      </c>
      <c r="Q1082" s="486">
        <v>8.35</v>
      </c>
      <c r="R1082" s="485">
        <v>0.69</v>
      </c>
      <c r="S1082" s="515">
        <v>11</v>
      </c>
      <c r="T1082" s="516">
        <v>135</v>
      </c>
      <c r="U1082" s="490">
        <v>10</v>
      </c>
      <c r="V1082" s="373"/>
      <c r="W1082" s="391" t="s">
        <v>511</v>
      </c>
    </row>
    <row r="1083" spans="1:23">
      <c r="A1083" s="476" t="s">
        <v>1554</v>
      </c>
      <c r="B1083" s="542">
        <v>119</v>
      </c>
      <c r="C1083" s="543">
        <v>65</v>
      </c>
      <c r="D1083" s="543">
        <v>31.3</v>
      </c>
      <c r="E1083" s="544">
        <v>14.3</v>
      </c>
      <c r="F1083" s="512"/>
      <c r="G1083" s="480"/>
      <c r="H1083" s="481"/>
      <c r="I1083" s="482"/>
      <c r="J1083" s="483">
        <v>26.601611916788226</v>
      </c>
      <c r="K1083" s="480">
        <v>1400</v>
      </c>
      <c r="L1083" s="481"/>
      <c r="M1083" s="482"/>
      <c r="N1083" s="483"/>
      <c r="O1083" s="513"/>
      <c r="P1083" s="514">
        <v>1783</v>
      </c>
      <c r="Q1083" s="486">
        <v>8.35</v>
      </c>
      <c r="R1083" s="485">
        <v>0.69</v>
      </c>
      <c r="S1083" s="515">
        <v>11</v>
      </c>
      <c r="T1083" s="516">
        <v>135</v>
      </c>
      <c r="U1083" s="490">
        <v>10</v>
      </c>
      <c r="V1083" s="373"/>
      <c r="W1083" s="391" t="s">
        <v>511</v>
      </c>
    </row>
    <row r="1084" spans="1:23">
      <c r="A1084" s="476" t="s">
        <v>1555</v>
      </c>
      <c r="B1084" s="542">
        <v>119</v>
      </c>
      <c r="C1084" s="543">
        <v>65</v>
      </c>
      <c r="D1084" s="543">
        <v>31.3</v>
      </c>
      <c r="E1084" s="544">
        <v>14.3</v>
      </c>
      <c r="F1084" s="512"/>
      <c r="G1084" s="480"/>
      <c r="H1084" s="481"/>
      <c r="I1084" s="482"/>
      <c r="J1084" s="483"/>
      <c r="K1084" s="480"/>
      <c r="L1084" s="481">
        <v>22.23076245107594</v>
      </c>
      <c r="M1084" s="482">
        <v>2500</v>
      </c>
      <c r="N1084" s="483"/>
      <c r="O1084" s="513"/>
      <c r="P1084" s="514">
        <v>2972</v>
      </c>
      <c r="Q1084" s="486">
        <v>8.35</v>
      </c>
      <c r="R1084" s="485">
        <v>0.69</v>
      </c>
      <c r="S1084" s="515">
        <v>11</v>
      </c>
      <c r="T1084" s="516">
        <v>135</v>
      </c>
      <c r="U1084" s="490">
        <v>10</v>
      </c>
      <c r="V1084" s="373"/>
      <c r="W1084" s="391" t="s">
        <v>511</v>
      </c>
    </row>
    <row r="1085" spans="1:23">
      <c r="A1085" s="476" t="s">
        <v>1556</v>
      </c>
      <c r="B1085" s="542">
        <v>119</v>
      </c>
      <c r="C1085" s="543">
        <v>65</v>
      </c>
      <c r="D1085" s="543">
        <v>31.3</v>
      </c>
      <c r="E1085" s="544">
        <v>14.3</v>
      </c>
      <c r="F1085" s="512"/>
      <c r="G1085" s="480"/>
      <c r="H1085" s="481"/>
      <c r="I1085" s="482"/>
      <c r="J1085" s="483"/>
      <c r="K1085" s="480"/>
      <c r="L1085" s="481"/>
      <c r="M1085" s="482"/>
      <c r="N1085" s="483">
        <v>18.621128341751753</v>
      </c>
      <c r="O1085" s="513">
        <v>3100</v>
      </c>
      <c r="P1085" s="514">
        <v>3567</v>
      </c>
      <c r="Q1085" s="486">
        <v>8.35</v>
      </c>
      <c r="R1085" s="485">
        <v>0.69</v>
      </c>
      <c r="S1085" s="515">
        <v>11</v>
      </c>
      <c r="T1085" s="516">
        <v>135</v>
      </c>
      <c r="U1085" s="490">
        <v>10</v>
      </c>
      <c r="V1085" s="373"/>
      <c r="W1085" s="391" t="s">
        <v>511</v>
      </c>
    </row>
    <row r="1086" spans="1:23">
      <c r="A1086" s="476" t="s">
        <v>1557</v>
      </c>
      <c r="B1086" s="542">
        <v>118</v>
      </c>
      <c r="C1086" s="543">
        <v>93.5</v>
      </c>
      <c r="D1086" s="543">
        <v>29.7</v>
      </c>
      <c r="E1086" s="544">
        <v>20.2</v>
      </c>
      <c r="F1086" s="512"/>
      <c r="G1086" s="480"/>
      <c r="H1086" s="481">
        <v>26.335954793732576</v>
      </c>
      <c r="I1086" s="482">
        <v>950</v>
      </c>
      <c r="J1086" s="483"/>
      <c r="K1086" s="480"/>
      <c r="L1086" s="481"/>
      <c r="M1086" s="482"/>
      <c r="N1086" s="483"/>
      <c r="O1086" s="513"/>
      <c r="P1086" s="514">
        <v>1263</v>
      </c>
      <c r="Q1086" s="486">
        <v>8.35</v>
      </c>
      <c r="R1086" s="485">
        <v>0.35</v>
      </c>
      <c r="S1086" s="515">
        <v>5</v>
      </c>
      <c r="T1086" s="516">
        <v>91.2</v>
      </c>
      <c r="U1086" s="490">
        <v>10</v>
      </c>
      <c r="V1086" s="373"/>
      <c r="W1086" s="391" t="s">
        <v>511</v>
      </c>
    </row>
    <row r="1087" spans="1:23">
      <c r="A1087" s="476" t="s">
        <v>1558</v>
      </c>
      <c r="B1087" s="542">
        <v>118</v>
      </c>
      <c r="C1087" s="543">
        <v>93.5</v>
      </c>
      <c r="D1087" s="543">
        <v>29.7</v>
      </c>
      <c r="E1087" s="544">
        <v>20.2</v>
      </c>
      <c r="F1087" s="512"/>
      <c r="G1087" s="480"/>
      <c r="H1087" s="481"/>
      <c r="I1087" s="482"/>
      <c r="J1087" s="483">
        <v>22.804629703024432</v>
      </c>
      <c r="K1087" s="480">
        <v>2100</v>
      </c>
      <c r="L1087" s="481"/>
      <c r="M1087" s="482"/>
      <c r="N1087" s="483"/>
      <c r="O1087" s="513"/>
      <c r="P1087" s="514">
        <v>2635</v>
      </c>
      <c r="Q1087" s="486">
        <v>8.35</v>
      </c>
      <c r="R1087" s="485">
        <v>0.35</v>
      </c>
      <c r="S1087" s="515">
        <v>5</v>
      </c>
      <c r="T1087" s="516">
        <v>91.2</v>
      </c>
      <c r="U1087" s="490">
        <v>10</v>
      </c>
      <c r="V1087" s="373"/>
      <c r="W1087" s="391" t="s">
        <v>511</v>
      </c>
    </row>
    <row r="1088" spans="1:23">
      <c r="A1088" s="476" t="s">
        <v>1559</v>
      </c>
      <c r="B1088" s="542">
        <v>118</v>
      </c>
      <c r="C1088" s="543">
        <v>93.5</v>
      </c>
      <c r="D1088" s="543">
        <v>29.7</v>
      </c>
      <c r="E1088" s="544">
        <v>20.2</v>
      </c>
      <c r="F1088" s="512"/>
      <c r="G1088" s="480"/>
      <c r="H1088" s="481"/>
      <c r="I1088" s="482"/>
      <c r="J1088" s="483"/>
      <c r="K1088" s="480"/>
      <c r="L1088" s="481">
        <v>12.723792477454767</v>
      </c>
      <c r="M1088" s="482">
        <v>3700</v>
      </c>
      <c r="N1088" s="483"/>
      <c r="O1088" s="513"/>
      <c r="P1088" s="514">
        <v>4392</v>
      </c>
      <c r="Q1088" s="486">
        <v>8.35</v>
      </c>
      <c r="R1088" s="485">
        <v>0.35</v>
      </c>
      <c r="S1088" s="515">
        <v>5</v>
      </c>
      <c r="T1088" s="516">
        <v>91.2</v>
      </c>
      <c r="U1088" s="490">
        <v>10</v>
      </c>
      <c r="V1088" s="373"/>
      <c r="W1088" s="391" t="s">
        <v>511</v>
      </c>
    </row>
    <row r="1089" spans="1:23">
      <c r="A1089" s="476" t="s">
        <v>1560</v>
      </c>
      <c r="B1089" s="542">
        <v>118</v>
      </c>
      <c r="C1089" s="543">
        <v>105</v>
      </c>
      <c r="D1089" s="543">
        <v>31.2</v>
      </c>
      <c r="E1089" s="544">
        <v>23.4</v>
      </c>
      <c r="F1089" s="512"/>
      <c r="G1089" s="480"/>
      <c r="H1089" s="481">
        <v>27.345712949425653</v>
      </c>
      <c r="I1089" s="482">
        <v>1100</v>
      </c>
      <c r="J1089" s="483"/>
      <c r="K1089" s="480"/>
      <c r="L1089" s="481"/>
      <c r="M1089" s="482"/>
      <c r="N1089" s="483"/>
      <c r="O1089" s="513"/>
      <c r="P1089" s="514">
        <v>1394</v>
      </c>
      <c r="Q1089" s="486">
        <v>8.35</v>
      </c>
      <c r="R1089" s="485">
        <v>0.26</v>
      </c>
      <c r="S1089" s="515">
        <v>3.2</v>
      </c>
      <c r="T1089" s="516">
        <v>82.7</v>
      </c>
      <c r="U1089" s="490">
        <v>10</v>
      </c>
      <c r="V1089" s="373"/>
      <c r="W1089" s="391" t="s">
        <v>511</v>
      </c>
    </row>
    <row r="1090" spans="1:23">
      <c r="A1090" s="476" t="s">
        <v>1561</v>
      </c>
      <c r="B1090" s="542">
        <v>118</v>
      </c>
      <c r="C1090" s="543">
        <v>105</v>
      </c>
      <c r="D1090" s="543">
        <v>31.2</v>
      </c>
      <c r="E1090" s="544">
        <v>23.4</v>
      </c>
      <c r="F1090" s="512"/>
      <c r="G1090" s="480"/>
      <c r="H1090" s="481"/>
      <c r="I1090" s="482"/>
      <c r="J1090" s="483">
        <v>23.167423890072417</v>
      </c>
      <c r="K1090" s="480">
        <v>2300</v>
      </c>
      <c r="L1090" s="481"/>
      <c r="M1090" s="482"/>
      <c r="N1090" s="483"/>
      <c r="O1090" s="513"/>
      <c r="P1090" s="514">
        <v>2909</v>
      </c>
      <c r="Q1090" s="486">
        <v>8.35</v>
      </c>
      <c r="R1090" s="485">
        <v>0.26</v>
      </c>
      <c r="S1090" s="515">
        <v>3.2</v>
      </c>
      <c r="T1090" s="516">
        <v>82.7</v>
      </c>
      <c r="U1090" s="490">
        <v>10</v>
      </c>
      <c r="V1090" s="373"/>
      <c r="W1090" s="391" t="s">
        <v>511</v>
      </c>
    </row>
    <row r="1091" spans="1:23">
      <c r="A1091" s="476" t="s">
        <v>1562</v>
      </c>
      <c r="B1091" s="542">
        <v>171</v>
      </c>
      <c r="C1091" s="543">
        <v>60.5</v>
      </c>
      <c r="D1091" s="543">
        <v>43.7</v>
      </c>
      <c r="E1091" s="544">
        <v>13.3</v>
      </c>
      <c r="F1091" s="512"/>
      <c r="G1091" s="480"/>
      <c r="H1091" s="481">
        <v>40.226411866476546</v>
      </c>
      <c r="I1091" s="482">
        <v>400</v>
      </c>
      <c r="J1091" s="483"/>
      <c r="K1091" s="480"/>
      <c r="L1091" s="481"/>
      <c r="M1091" s="482"/>
      <c r="N1091" s="483"/>
      <c r="O1091" s="513"/>
      <c r="P1091" s="514">
        <v>568</v>
      </c>
      <c r="Q1091" s="486">
        <v>11.5</v>
      </c>
      <c r="R1091" s="485">
        <v>0.95</v>
      </c>
      <c r="S1091" s="515">
        <v>16</v>
      </c>
      <c r="T1091" s="516">
        <v>202</v>
      </c>
      <c r="U1091" s="490">
        <v>10</v>
      </c>
      <c r="V1091" s="373"/>
      <c r="W1091" s="391" t="s">
        <v>511</v>
      </c>
    </row>
    <row r="1092" spans="1:23">
      <c r="A1092" s="476" t="s">
        <v>1563</v>
      </c>
      <c r="B1092" s="542">
        <v>171</v>
      </c>
      <c r="C1092" s="543">
        <v>60.5</v>
      </c>
      <c r="D1092" s="543">
        <v>43.7</v>
      </c>
      <c r="E1092" s="544">
        <v>13.3</v>
      </c>
      <c r="F1092" s="512"/>
      <c r="G1092" s="480"/>
      <c r="H1092" s="481"/>
      <c r="I1092" s="482"/>
      <c r="J1092" s="483">
        <v>38.46847317687061</v>
      </c>
      <c r="K1092" s="480">
        <v>880</v>
      </c>
      <c r="L1092" s="481"/>
      <c r="M1092" s="482"/>
      <c r="N1092" s="483"/>
      <c r="O1092" s="513"/>
      <c r="P1092" s="514">
        <v>1188</v>
      </c>
      <c r="Q1092" s="486">
        <v>11.5</v>
      </c>
      <c r="R1092" s="485">
        <v>0.95</v>
      </c>
      <c r="S1092" s="515">
        <v>16</v>
      </c>
      <c r="T1092" s="516">
        <v>202</v>
      </c>
      <c r="U1092" s="490">
        <v>10</v>
      </c>
      <c r="V1092" s="373"/>
      <c r="W1092" s="391" t="s">
        <v>511</v>
      </c>
    </row>
    <row r="1093" spans="1:23">
      <c r="A1093" s="476" t="s">
        <v>1564</v>
      </c>
      <c r="B1093" s="542">
        <v>171</v>
      </c>
      <c r="C1093" s="543">
        <v>60.5</v>
      </c>
      <c r="D1093" s="543">
        <v>43.7</v>
      </c>
      <c r="E1093" s="544">
        <v>13.3</v>
      </c>
      <c r="F1093" s="512"/>
      <c r="G1093" s="480"/>
      <c r="H1093" s="481"/>
      <c r="I1093" s="482"/>
      <c r="J1093" s="483"/>
      <c r="K1093" s="480"/>
      <c r="L1093" s="481">
        <v>34.85493253712508</v>
      </c>
      <c r="M1093" s="482">
        <v>1600</v>
      </c>
      <c r="N1093" s="483"/>
      <c r="O1093" s="513"/>
      <c r="P1093" s="514">
        <v>1980</v>
      </c>
      <c r="Q1093" s="486">
        <v>11.5</v>
      </c>
      <c r="R1093" s="485">
        <v>0.95</v>
      </c>
      <c r="S1093" s="515">
        <v>16</v>
      </c>
      <c r="T1093" s="516">
        <v>202</v>
      </c>
      <c r="U1093" s="490">
        <v>10</v>
      </c>
      <c r="V1093" s="373"/>
      <c r="W1093" s="391" t="s">
        <v>511</v>
      </c>
    </row>
    <row r="1094" spans="1:23">
      <c r="A1094" s="476" t="s">
        <v>1565</v>
      </c>
      <c r="B1094" s="542">
        <v>171</v>
      </c>
      <c r="C1094" s="543">
        <v>60.5</v>
      </c>
      <c r="D1094" s="543">
        <v>43.7</v>
      </c>
      <c r="E1094" s="544">
        <v>13.3</v>
      </c>
      <c r="F1094" s="512"/>
      <c r="G1094" s="480"/>
      <c r="H1094" s="481"/>
      <c r="I1094" s="482"/>
      <c r="J1094" s="483"/>
      <c r="K1094" s="480"/>
      <c r="L1094" s="481"/>
      <c r="M1094" s="482"/>
      <c r="N1094" s="483">
        <v>32.565549894187811</v>
      </c>
      <c r="O1094" s="513">
        <v>1950</v>
      </c>
      <c r="P1094" s="514">
        <v>2376</v>
      </c>
      <c r="Q1094" s="486">
        <v>11.5</v>
      </c>
      <c r="R1094" s="485">
        <v>0.95</v>
      </c>
      <c r="S1094" s="515">
        <v>16</v>
      </c>
      <c r="T1094" s="516">
        <v>202</v>
      </c>
      <c r="U1094" s="490">
        <v>10</v>
      </c>
      <c r="V1094" s="373"/>
      <c r="W1094" s="391" t="s">
        <v>511</v>
      </c>
    </row>
    <row r="1095" spans="1:23">
      <c r="A1095" s="476" t="s">
        <v>1566</v>
      </c>
      <c r="B1095" s="542">
        <v>171</v>
      </c>
      <c r="C1095" s="543">
        <v>68</v>
      </c>
      <c r="D1095" s="543">
        <v>43.5</v>
      </c>
      <c r="E1095" s="544">
        <v>14.9</v>
      </c>
      <c r="F1095" s="512"/>
      <c r="G1095" s="480"/>
      <c r="H1095" s="481">
        <v>39.894839068368434</v>
      </c>
      <c r="I1095" s="482">
        <v>450</v>
      </c>
      <c r="J1095" s="483"/>
      <c r="K1095" s="480"/>
      <c r="L1095" s="481"/>
      <c r="M1095" s="482"/>
      <c r="N1095" s="483"/>
      <c r="O1095" s="513"/>
      <c r="P1095" s="514">
        <v>638</v>
      </c>
      <c r="Q1095" s="486">
        <v>11.5</v>
      </c>
      <c r="R1095" s="485">
        <v>0.76</v>
      </c>
      <c r="S1095" s="515">
        <v>12</v>
      </c>
      <c r="T1095" s="516">
        <v>180</v>
      </c>
      <c r="U1095" s="490">
        <v>10</v>
      </c>
      <c r="V1095" s="373"/>
      <c r="W1095" s="391" t="s">
        <v>511</v>
      </c>
    </row>
    <row r="1096" spans="1:23">
      <c r="A1096" s="476" t="s">
        <v>1567</v>
      </c>
      <c r="B1096" s="542">
        <v>171</v>
      </c>
      <c r="C1096" s="543">
        <v>68</v>
      </c>
      <c r="D1096" s="543">
        <v>43.5</v>
      </c>
      <c r="E1096" s="544">
        <v>14.9</v>
      </c>
      <c r="F1096" s="512"/>
      <c r="G1096" s="480"/>
      <c r="H1096" s="481"/>
      <c r="I1096" s="482"/>
      <c r="J1096" s="483">
        <v>37.515093728803905</v>
      </c>
      <c r="K1096" s="480">
        <v>1050</v>
      </c>
      <c r="L1096" s="481"/>
      <c r="M1096" s="482"/>
      <c r="N1096" s="483"/>
      <c r="O1096" s="513"/>
      <c r="P1096" s="514">
        <v>1334</v>
      </c>
      <c r="Q1096" s="486">
        <v>11.5</v>
      </c>
      <c r="R1096" s="485">
        <v>0.76</v>
      </c>
      <c r="S1096" s="515">
        <v>12</v>
      </c>
      <c r="T1096" s="516">
        <v>180</v>
      </c>
      <c r="U1096" s="490">
        <v>10</v>
      </c>
      <c r="V1096" s="373"/>
      <c r="W1096" s="391" t="s">
        <v>511</v>
      </c>
    </row>
    <row r="1097" spans="1:23">
      <c r="A1097" s="476" t="s">
        <v>1568</v>
      </c>
      <c r="B1097" s="542">
        <v>171</v>
      </c>
      <c r="C1097" s="543">
        <v>68</v>
      </c>
      <c r="D1097" s="543">
        <v>43.5</v>
      </c>
      <c r="E1097" s="544">
        <v>14.9</v>
      </c>
      <c r="F1097" s="512"/>
      <c r="G1097" s="480"/>
      <c r="H1097" s="481"/>
      <c r="I1097" s="482"/>
      <c r="J1097" s="483"/>
      <c r="K1097" s="480"/>
      <c r="L1097" s="481">
        <v>32.769165125026028</v>
      </c>
      <c r="M1097" s="482">
        <v>1900</v>
      </c>
      <c r="N1097" s="483"/>
      <c r="O1097" s="513"/>
      <c r="P1097" s="514">
        <v>2223</v>
      </c>
      <c r="Q1097" s="486">
        <v>11.5</v>
      </c>
      <c r="R1097" s="485">
        <v>0.76</v>
      </c>
      <c r="S1097" s="515">
        <v>12</v>
      </c>
      <c r="T1097" s="516">
        <v>180</v>
      </c>
      <c r="U1097" s="490">
        <v>10</v>
      </c>
      <c r="V1097" s="373"/>
      <c r="W1097" s="391" t="s">
        <v>511</v>
      </c>
    </row>
    <row r="1098" spans="1:23">
      <c r="A1098" s="476" t="s">
        <v>1569</v>
      </c>
      <c r="B1098" s="542">
        <v>171</v>
      </c>
      <c r="C1098" s="543">
        <v>68</v>
      </c>
      <c r="D1098" s="543">
        <v>43.5</v>
      </c>
      <c r="E1098" s="544">
        <v>14.9</v>
      </c>
      <c r="F1098" s="512"/>
      <c r="G1098" s="480"/>
      <c r="H1098" s="481"/>
      <c r="I1098" s="482"/>
      <c r="J1098" s="483"/>
      <c r="K1098" s="480"/>
      <c r="L1098" s="481"/>
      <c r="M1098" s="482"/>
      <c r="N1098" s="483">
        <v>29.257419325829272</v>
      </c>
      <c r="O1098" s="513">
        <v>2350</v>
      </c>
      <c r="P1098" s="514">
        <v>2667</v>
      </c>
      <c r="Q1098" s="486">
        <v>11.5</v>
      </c>
      <c r="R1098" s="485">
        <v>0.76</v>
      </c>
      <c r="S1098" s="515">
        <v>12</v>
      </c>
      <c r="T1098" s="516">
        <v>180</v>
      </c>
      <c r="U1098" s="490">
        <v>10</v>
      </c>
      <c r="V1098" s="373"/>
      <c r="W1098" s="391" t="s">
        <v>511</v>
      </c>
    </row>
    <row r="1099" spans="1:23">
      <c r="A1099" s="476" t="s">
        <v>1570</v>
      </c>
      <c r="B1099" s="542">
        <v>168</v>
      </c>
      <c r="C1099" s="543">
        <v>97.2</v>
      </c>
      <c r="D1099" s="543">
        <v>41.8</v>
      </c>
      <c r="E1099" s="544">
        <v>21.1</v>
      </c>
      <c r="F1099" s="512"/>
      <c r="G1099" s="480"/>
      <c r="H1099" s="481">
        <v>37.242256683503506</v>
      </c>
      <c r="I1099" s="482">
        <v>750</v>
      </c>
      <c r="J1099" s="483"/>
      <c r="K1099" s="480"/>
      <c r="L1099" s="481"/>
      <c r="M1099" s="482"/>
      <c r="N1099" s="483"/>
      <c r="O1099" s="513"/>
      <c r="P1099" s="514">
        <v>941</v>
      </c>
      <c r="Q1099" s="486">
        <v>11.5</v>
      </c>
      <c r="R1099" s="485">
        <v>0.38</v>
      </c>
      <c r="S1099" s="515">
        <v>5.9</v>
      </c>
      <c r="T1099" s="516">
        <v>123</v>
      </c>
      <c r="U1099" s="490">
        <v>10</v>
      </c>
      <c r="V1099" s="373"/>
      <c r="W1099" s="391" t="s">
        <v>511</v>
      </c>
    </row>
    <row r="1100" spans="1:23">
      <c r="A1100" s="476" t="s">
        <v>1571</v>
      </c>
      <c r="B1100" s="542">
        <v>168</v>
      </c>
      <c r="C1100" s="543">
        <v>97.2</v>
      </c>
      <c r="D1100" s="543">
        <v>41.8</v>
      </c>
      <c r="E1100" s="544">
        <v>21.1</v>
      </c>
      <c r="F1100" s="512"/>
      <c r="G1100" s="480"/>
      <c r="H1100" s="481"/>
      <c r="I1100" s="482"/>
      <c r="J1100" s="483">
        <v>33.243488738319641</v>
      </c>
      <c r="K1100" s="480">
        <v>1600</v>
      </c>
      <c r="L1100" s="481"/>
      <c r="M1100" s="482"/>
      <c r="N1100" s="483"/>
      <c r="O1100" s="513"/>
      <c r="P1100" s="514">
        <v>1964</v>
      </c>
      <c r="Q1100" s="486">
        <v>11.5</v>
      </c>
      <c r="R1100" s="485">
        <v>0.38</v>
      </c>
      <c r="S1100" s="515">
        <v>5.9</v>
      </c>
      <c r="T1100" s="516">
        <v>123</v>
      </c>
      <c r="U1100" s="490">
        <v>10</v>
      </c>
      <c r="V1100" s="373"/>
      <c r="W1100" s="391" t="s">
        <v>511</v>
      </c>
    </row>
    <row r="1101" spans="1:23">
      <c r="A1101" s="476" t="s">
        <v>1572</v>
      </c>
      <c r="B1101" s="542">
        <v>168</v>
      </c>
      <c r="C1101" s="543">
        <v>97.2</v>
      </c>
      <c r="D1101" s="543">
        <v>41.8</v>
      </c>
      <c r="E1101" s="544">
        <v>21.1</v>
      </c>
      <c r="F1101" s="512"/>
      <c r="G1101" s="480"/>
      <c r="H1101" s="481"/>
      <c r="I1101" s="482"/>
      <c r="J1101" s="483"/>
      <c r="K1101" s="480"/>
      <c r="L1101" s="481">
        <v>22.654882933908411</v>
      </c>
      <c r="M1101" s="482">
        <v>2900</v>
      </c>
      <c r="N1101" s="483"/>
      <c r="O1101" s="513"/>
      <c r="P1101" s="514">
        <v>3274</v>
      </c>
      <c r="Q1101" s="486">
        <v>11.5</v>
      </c>
      <c r="R1101" s="485">
        <v>0.38</v>
      </c>
      <c r="S1101" s="515">
        <v>5.9</v>
      </c>
      <c r="T1101" s="516">
        <v>123</v>
      </c>
      <c r="U1101" s="490">
        <v>10</v>
      </c>
      <c r="V1101" s="373"/>
      <c r="W1101" s="391" t="s">
        <v>511</v>
      </c>
    </row>
    <row r="1102" spans="1:23">
      <c r="A1102" s="476" t="s">
        <v>1573</v>
      </c>
      <c r="B1102" s="542">
        <v>168</v>
      </c>
      <c r="C1102" s="543">
        <v>97.2</v>
      </c>
      <c r="D1102" s="543">
        <v>41.8</v>
      </c>
      <c r="E1102" s="544">
        <v>21.1</v>
      </c>
      <c r="F1102" s="512"/>
      <c r="G1102" s="480"/>
      <c r="H1102" s="481"/>
      <c r="I1102" s="482"/>
      <c r="J1102" s="483"/>
      <c r="K1102" s="480"/>
      <c r="L1102" s="481"/>
      <c r="M1102" s="482"/>
      <c r="N1102" s="483">
        <v>12.34587629984274</v>
      </c>
      <c r="O1102" s="513">
        <v>3500</v>
      </c>
      <c r="P1102" s="514">
        <v>3929</v>
      </c>
      <c r="Q1102" s="486">
        <v>11.5</v>
      </c>
      <c r="R1102" s="485">
        <v>0.38</v>
      </c>
      <c r="S1102" s="515">
        <v>5.9</v>
      </c>
      <c r="T1102" s="516">
        <v>123</v>
      </c>
      <c r="U1102" s="490">
        <v>10</v>
      </c>
      <c r="V1102" s="373"/>
      <c r="W1102" s="391" t="s">
        <v>511</v>
      </c>
    </row>
    <row r="1103" spans="1:23">
      <c r="A1103" s="476" t="s">
        <v>1574</v>
      </c>
      <c r="B1103" s="542">
        <v>218</v>
      </c>
      <c r="C1103" s="543">
        <v>64.5</v>
      </c>
      <c r="D1103" s="543">
        <v>54.6</v>
      </c>
      <c r="E1103" s="544">
        <v>14.1</v>
      </c>
      <c r="F1103" s="512"/>
      <c r="G1103" s="480"/>
      <c r="H1103" s="481">
        <v>50.202016335272141</v>
      </c>
      <c r="I1103" s="482">
        <v>350</v>
      </c>
      <c r="J1103" s="483"/>
      <c r="K1103" s="480"/>
      <c r="L1103" s="481"/>
      <c r="M1103" s="482"/>
      <c r="N1103" s="483"/>
      <c r="O1103" s="513"/>
      <c r="P1103" s="514">
        <v>480</v>
      </c>
      <c r="Q1103" s="486">
        <v>14.5</v>
      </c>
      <c r="R1103" s="485">
        <v>0.93</v>
      </c>
      <c r="S1103" s="515">
        <v>16</v>
      </c>
      <c r="T1103" s="516">
        <v>240</v>
      </c>
      <c r="U1103" s="490">
        <v>10</v>
      </c>
      <c r="V1103" s="373"/>
      <c r="W1103" s="391" t="s">
        <v>511</v>
      </c>
    </row>
    <row r="1104" spans="1:23">
      <c r="A1104" s="476" t="s">
        <v>1575</v>
      </c>
      <c r="B1104" s="542">
        <v>218</v>
      </c>
      <c r="C1104" s="543">
        <v>64.5</v>
      </c>
      <c r="D1104" s="543">
        <v>54.6</v>
      </c>
      <c r="E1104" s="544">
        <v>14.1</v>
      </c>
      <c r="F1104" s="512"/>
      <c r="G1104" s="480"/>
      <c r="H1104" s="481"/>
      <c r="I1104" s="482"/>
      <c r="J1104" s="483">
        <v>47.7464829275686</v>
      </c>
      <c r="K1104" s="480">
        <v>800</v>
      </c>
      <c r="L1104" s="481"/>
      <c r="M1104" s="482"/>
      <c r="N1104" s="483"/>
      <c r="O1104" s="513"/>
      <c r="P1104" s="514">
        <v>1005</v>
      </c>
      <c r="Q1104" s="486">
        <v>14.5</v>
      </c>
      <c r="R1104" s="485">
        <v>0.93</v>
      </c>
      <c r="S1104" s="515">
        <v>16</v>
      </c>
      <c r="T1104" s="516">
        <v>240</v>
      </c>
      <c r="U1104" s="490">
        <v>10</v>
      </c>
      <c r="V1104" s="373"/>
      <c r="W1104" s="391" t="s">
        <v>511</v>
      </c>
    </row>
    <row r="1105" spans="1:23">
      <c r="A1105" s="476" t="s">
        <v>1576</v>
      </c>
      <c r="B1105" s="542">
        <v>218</v>
      </c>
      <c r="C1105" s="543">
        <v>64.5</v>
      </c>
      <c r="D1105" s="543">
        <v>54.6</v>
      </c>
      <c r="E1105" s="544">
        <v>14.1</v>
      </c>
      <c r="F1105" s="512"/>
      <c r="G1105" s="480"/>
      <c r="H1105" s="481"/>
      <c r="I1105" s="482"/>
      <c r="J1105" s="483"/>
      <c r="K1105" s="480"/>
      <c r="L1105" s="481">
        <v>43.688031878725276</v>
      </c>
      <c r="M1105" s="482">
        <v>1400</v>
      </c>
      <c r="N1105" s="483"/>
      <c r="O1105" s="513"/>
      <c r="P1105" s="514">
        <v>1676</v>
      </c>
      <c r="Q1105" s="486">
        <v>14.5</v>
      </c>
      <c r="R1105" s="485">
        <v>0.93</v>
      </c>
      <c r="S1105" s="515">
        <v>16</v>
      </c>
      <c r="T1105" s="516">
        <v>240</v>
      </c>
      <c r="U1105" s="490">
        <v>10</v>
      </c>
      <c r="V1105" s="373"/>
      <c r="W1105" s="391" t="s">
        <v>511</v>
      </c>
    </row>
    <row r="1106" spans="1:23">
      <c r="A1106" s="476" t="s">
        <v>1577</v>
      </c>
      <c r="B1106" s="542">
        <v>218</v>
      </c>
      <c r="C1106" s="543">
        <v>64.5</v>
      </c>
      <c r="D1106" s="543">
        <v>54.6</v>
      </c>
      <c r="E1106" s="544">
        <v>14.1</v>
      </c>
      <c r="F1106" s="512"/>
      <c r="G1106" s="480"/>
      <c r="H1106" s="481"/>
      <c r="I1106" s="482"/>
      <c r="J1106" s="483"/>
      <c r="K1106" s="480"/>
      <c r="L1106" s="481"/>
      <c r="M1106" s="482"/>
      <c r="N1106" s="483">
        <v>40.837285986285153</v>
      </c>
      <c r="O1106" s="513">
        <v>1700</v>
      </c>
      <c r="P1106" s="514">
        <v>2011</v>
      </c>
      <c r="Q1106" s="486">
        <v>14.5</v>
      </c>
      <c r="R1106" s="485">
        <v>0.93</v>
      </c>
      <c r="S1106" s="515">
        <v>16</v>
      </c>
      <c r="T1106" s="516">
        <v>240</v>
      </c>
      <c r="U1106" s="490">
        <v>10</v>
      </c>
      <c r="V1106" s="373"/>
      <c r="W1106" s="391" t="s">
        <v>511</v>
      </c>
    </row>
    <row r="1107" spans="1:23">
      <c r="A1107" s="476" t="s">
        <v>1578</v>
      </c>
      <c r="B1107" s="542">
        <v>216</v>
      </c>
      <c r="C1107" s="543">
        <v>92.5</v>
      </c>
      <c r="D1107" s="543">
        <v>53</v>
      </c>
      <c r="E1107" s="544">
        <v>19.899999999999999</v>
      </c>
      <c r="F1107" s="512"/>
      <c r="G1107" s="480"/>
      <c r="H1107" s="481">
        <v>49.482718670389282</v>
      </c>
      <c r="I1107" s="482">
        <v>550</v>
      </c>
      <c r="J1107" s="483"/>
      <c r="K1107" s="480"/>
      <c r="L1107" s="481"/>
      <c r="M1107" s="482"/>
      <c r="N1107" s="483"/>
      <c r="O1107" s="513"/>
      <c r="P1107" s="514">
        <v>699</v>
      </c>
      <c r="Q1107" s="486">
        <v>14.5</v>
      </c>
      <c r="R1107" s="485">
        <v>0.47</v>
      </c>
      <c r="S1107" s="515">
        <v>7.7</v>
      </c>
      <c r="T1107" s="516">
        <v>165</v>
      </c>
      <c r="U1107" s="490">
        <v>10</v>
      </c>
      <c r="V1107" s="373"/>
      <c r="W1107" s="391" t="s">
        <v>511</v>
      </c>
    </row>
    <row r="1108" spans="1:23">
      <c r="A1108" s="476" t="s">
        <v>1579</v>
      </c>
      <c r="B1108" s="542">
        <v>216</v>
      </c>
      <c r="C1108" s="543">
        <v>92.5</v>
      </c>
      <c r="D1108" s="543">
        <v>53</v>
      </c>
      <c r="E1108" s="544">
        <v>19.899999999999999</v>
      </c>
      <c r="F1108" s="512"/>
      <c r="G1108" s="480"/>
      <c r="H1108" s="481"/>
      <c r="I1108" s="482"/>
      <c r="J1108" s="483">
        <v>45.50447416401321</v>
      </c>
      <c r="K1108" s="480">
        <v>1150</v>
      </c>
      <c r="L1108" s="481"/>
      <c r="M1108" s="482"/>
      <c r="N1108" s="483"/>
      <c r="O1108" s="513"/>
      <c r="P1108" s="514">
        <v>1459</v>
      </c>
      <c r="Q1108" s="486">
        <v>14.5</v>
      </c>
      <c r="R1108" s="485">
        <v>0.47</v>
      </c>
      <c r="S1108" s="515">
        <v>7.7</v>
      </c>
      <c r="T1108" s="516">
        <v>165</v>
      </c>
      <c r="U1108" s="490">
        <v>10</v>
      </c>
      <c r="V1108" s="373"/>
      <c r="W1108" s="391" t="s">
        <v>511</v>
      </c>
    </row>
    <row r="1109" spans="1:23">
      <c r="A1109" s="476" t="s">
        <v>1580</v>
      </c>
      <c r="B1109" s="542">
        <v>216</v>
      </c>
      <c r="C1109" s="543">
        <v>92.5</v>
      </c>
      <c r="D1109" s="543">
        <v>53</v>
      </c>
      <c r="E1109" s="544">
        <v>19.899999999999999</v>
      </c>
      <c r="F1109" s="512"/>
      <c r="G1109" s="480"/>
      <c r="H1109" s="481"/>
      <c r="I1109" s="482"/>
      <c r="J1109" s="483"/>
      <c r="K1109" s="480"/>
      <c r="L1109" s="481">
        <v>33.533576381687716</v>
      </c>
      <c r="M1109" s="482">
        <v>2150</v>
      </c>
      <c r="N1109" s="483"/>
      <c r="O1109" s="513"/>
      <c r="P1109" s="514">
        <v>2432</v>
      </c>
      <c r="Q1109" s="486">
        <v>14.5</v>
      </c>
      <c r="R1109" s="485">
        <v>0.47</v>
      </c>
      <c r="S1109" s="515">
        <v>7.7</v>
      </c>
      <c r="T1109" s="516">
        <v>165</v>
      </c>
      <c r="U1109" s="490">
        <v>10</v>
      </c>
      <c r="V1109" s="373"/>
      <c r="W1109" s="391" t="s">
        <v>511</v>
      </c>
    </row>
    <row r="1110" spans="1:23">
      <c r="A1110" s="476" t="s">
        <v>1581</v>
      </c>
      <c r="B1110" s="542">
        <v>216</v>
      </c>
      <c r="C1110" s="543">
        <v>92.5</v>
      </c>
      <c r="D1110" s="543">
        <v>53</v>
      </c>
      <c r="E1110" s="544">
        <v>19.899999999999999</v>
      </c>
      <c r="F1110" s="512"/>
      <c r="G1110" s="480"/>
      <c r="H1110" s="481"/>
      <c r="I1110" s="482"/>
      <c r="J1110" s="483"/>
      <c r="K1110" s="480"/>
      <c r="L1110" s="481"/>
      <c r="M1110" s="482"/>
      <c r="N1110" s="483">
        <v>24.699622899069141</v>
      </c>
      <c r="O1110" s="513">
        <v>2600</v>
      </c>
      <c r="P1110" s="514">
        <v>2918</v>
      </c>
      <c r="Q1110" s="486">
        <v>14.5</v>
      </c>
      <c r="R1110" s="485">
        <v>0.47</v>
      </c>
      <c r="S1110" s="515">
        <v>7.7</v>
      </c>
      <c r="T1110" s="516">
        <v>165</v>
      </c>
      <c r="U1110" s="490">
        <v>10</v>
      </c>
      <c r="V1110" s="373"/>
      <c r="W1110" s="391" t="s">
        <v>511</v>
      </c>
    </row>
    <row r="1111" spans="1:23">
      <c r="A1111" s="476" t="s">
        <v>1582</v>
      </c>
      <c r="B1111" s="542">
        <v>18</v>
      </c>
      <c r="C1111" s="543">
        <v>18</v>
      </c>
      <c r="D1111" s="543">
        <v>6.12</v>
      </c>
      <c r="E1111" s="544">
        <v>5.12</v>
      </c>
      <c r="F1111" s="512"/>
      <c r="G1111" s="480"/>
      <c r="H1111" s="481"/>
      <c r="I1111" s="482"/>
      <c r="J1111" s="483"/>
      <c r="K1111" s="480"/>
      <c r="L1111" s="481">
        <v>4.82490774847009</v>
      </c>
      <c r="M1111" s="482">
        <v>4750</v>
      </c>
      <c r="N1111" s="483"/>
      <c r="O1111" s="513"/>
      <c r="P1111" s="514">
        <v>5478</v>
      </c>
      <c r="Q1111" s="486">
        <v>2.85</v>
      </c>
      <c r="R1111" s="485">
        <v>2.9</v>
      </c>
      <c r="S1111" s="515">
        <v>6.8</v>
      </c>
      <c r="T1111" s="516">
        <v>72.8</v>
      </c>
      <c r="U1111" s="490">
        <v>16</v>
      </c>
      <c r="V1111" s="373"/>
      <c r="W1111" s="391" t="s">
        <v>511</v>
      </c>
    </row>
    <row r="1112" spans="1:23">
      <c r="A1112" s="476" t="s">
        <v>1583</v>
      </c>
      <c r="B1112" s="542">
        <v>34.5</v>
      </c>
      <c r="C1112" s="543">
        <v>18</v>
      </c>
      <c r="D1112" s="543">
        <v>11.6</v>
      </c>
      <c r="E1112" s="544">
        <v>5.12</v>
      </c>
      <c r="F1112" s="512"/>
      <c r="G1112" s="480"/>
      <c r="H1112" s="481"/>
      <c r="I1112" s="482"/>
      <c r="J1112" s="483"/>
      <c r="K1112" s="480"/>
      <c r="L1112" s="481">
        <v>9.9780405138429078</v>
      </c>
      <c r="M1112" s="482">
        <v>2450</v>
      </c>
      <c r="N1112" s="483"/>
      <c r="O1112" s="513"/>
      <c r="P1112" s="514">
        <v>2866</v>
      </c>
      <c r="Q1112" s="486">
        <v>3.73</v>
      </c>
      <c r="R1112" s="485">
        <v>3.55</v>
      </c>
      <c r="S1112" s="515">
        <v>12</v>
      </c>
      <c r="T1112" s="516">
        <v>139</v>
      </c>
      <c r="U1112" s="490">
        <v>16</v>
      </c>
      <c r="V1112" s="373"/>
      <c r="W1112" s="391" t="s">
        <v>511</v>
      </c>
    </row>
    <row r="1113" spans="1:23">
      <c r="A1113" s="476" t="s">
        <v>1584</v>
      </c>
      <c r="B1113" s="542">
        <v>34.5</v>
      </c>
      <c r="C1113" s="543">
        <v>18</v>
      </c>
      <c r="D1113" s="543">
        <v>11.6</v>
      </c>
      <c r="E1113" s="544">
        <v>5.12</v>
      </c>
      <c r="F1113" s="512"/>
      <c r="G1113" s="480"/>
      <c r="H1113" s="481"/>
      <c r="I1113" s="482"/>
      <c r="J1113" s="483"/>
      <c r="K1113" s="480"/>
      <c r="L1113" s="481"/>
      <c r="M1113" s="482"/>
      <c r="N1113" s="483">
        <v>6.8754935415698784</v>
      </c>
      <c r="O1113" s="513">
        <v>3000</v>
      </c>
      <c r="P1113" s="514">
        <v>3439</v>
      </c>
      <c r="Q1113" s="486">
        <v>3.73</v>
      </c>
      <c r="R1113" s="485">
        <v>3.55</v>
      </c>
      <c r="S1113" s="515">
        <v>12</v>
      </c>
      <c r="T1113" s="516">
        <v>139</v>
      </c>
      <c r="U1113" s="490">
        <v>16</v>
      </c>
      <c r="V1113" s="373"/>
      <c r="W1113" s="391" t="s">
        <v>511</v>
      </c>
    </row>
    <row r="1114" spans="1:23">
      <c r="A1114" s="476" t="s">
        <v>1585</v>
      </c>
      <c r="B1114" s="542">
        <v>64.5</v>
      </c>
      <c r="C1114" s="543">
        <v>18</v>
      </c>
      <c r="D1114" s="543">
        <v>21</v>
      </c>
      <c r="E1114" s="544">
        <v>4.78</v>
      </c>
      <c r="F1114" s="512"/>
      <c r="G1114" s="480"/>
      <c r="H1114" s="481"/>
      <c r="I1114" s="482"/>
      <c r="J1114" s="483"/>
      <c r="K1114" s="480"/>
      <c r="L1114" s="481">
        <v>18.636530433018713</v>
      </c>
      <c r="M1114" s="482">
        <v>1240</v>
      </c>
      <c r="N1114" s="483"/>
      <c r="O1114" s="513"/>
      <c r="P1114" s="514">
        <v>1491</v>
      </c>
      <c r="Q1114" s="486">
        <v>5.6899999999999995</v>
      </c>
      <c r="R1114" s="485">
        <v>4.83</v>
      </c>
      <c r="S1114" s="515">
        <v>19</v>
      </c>
      <c r="T1114" s="516">
        <v>268</v>
      </c>
      <c r="U1114" s="490">
        <v>16</v>
      </c>
      <c r="V1114" s="373"/>
      <c r="W1114" s="391" t="s">
        <v>511</v>
      </c>
    </row>
    <row r="1115" spans="1:23">
      <c r="A1115" s="476" t="s">
        <v>1586</v>
      </c>
      <c r="B1115" s="542">
        <v>64.5</v>
      </c>
      <c r="C1115" s="543">
        <v>18</v>
      </c>
      <c r="D1115" s="543">
        <v>21</v>
      </c>
      <c r="E1115" s="544">
        <v>4.78</v>
      </c>
      <c r="F1115" s="512"/>
      <c r="G1115" s="480"/>
      <c r="H1115" s="481"/>
      <c r="I1115" s="482"/>
      <c r="J1115" s="483"/>
      <c r="K1115" s="480"/>
      <c r="L1115" s="481"/>
      <c r="M1115" s="482"/>
      <c r="N1115" s="483">
        <v>16.182532804310163</v>
      </c>
      <c r="O1115" s="513">
        <v>1490</v>
      </c>
      <c r="P1115" s="514">
        <v>1790</v>
      </c>
      <c r="Q1115" s="486">
        <v>5.6899999999999995</v>
      </c>
      <c r="R1115" s="485">
        <v>4.83</v>
      </c>
      <c r="S1115" s="515">
        <v>19</v>
      </c>
      <c r="T1115" s="516">
        <v>268</v>
      </c>
      <c r="U1115" s="490">
        <v>16</v>
      </c>
      <c r="V1115" s="373"/>
      <c r="W1115" s="391" t="s">
        <v>511</v>
      </c>
    </row>
    <row r="1116" spans="1:23">
      <c r="A1116" s="476" t="s">
        <v>1587</v>
      </c>
      <c r="B1116" s="542">
        <v>18</v>
      </c>
      <c r="C1116" s="543">
        <v>18</v>
      </c>
      <c r="D1116" s="543">
        <v>6.12</v>
      </c>
      <c r="E1116" s="544">
        <v>5.12</v>
      </c>
      <c r="F1116" s="512"/>
      <c r="G1116" s="480"/>
      <c r="H1116" s="481"/>
      <c r="I1116" s="482"/>
      <c r="J1116" s="483">
        <v>4.9618894022767375</v>
      </c>
      <c r="K1116" s="480">
        <v>2550</v>
      </c>
      <c r="L1116" s="481"/>
      <c r="M1116" s="482"/>
      <c r="N1116" s="483"/>
      <c r="O1116" s="513"/>
      <c r="P1116" s="514">
        <v>3284</v>
      </c>
      <c r="Q1116" s="486">
        <v>2.85</v>
      </c>
      <c r="R1116" s="485">
        <v>2.9</v>
      </c>
      <c r="S1116" s="515">
        <v>6.8</v>
      </c>
      <c r="T1116" s="516">
        <v>72.8</v>
      </c>
      <c r="U1116" s="490">
        <v>16</v>
      </c>
      <c r="V1116" s="373"/>
      <c r="W1116" s="391" t="s">
        <v>511</v>
      </c>
    </row>
    <row r="1117" spans="1:23">
      <c r="A1117" s="476" t="s">
        <v>1588</v>
      </c>
      <c r="B1117" s="542">
        <v>34.5</v>
      </c>
      <c r="C1117" s="543">
        <v>18</v>
      </c>
      <c r="D1117" s="543">
        <v>11.6</v>
      </c>
      <c r="E1117" s="544">
        <v>5.12</v>
      </c>
      <c r="F1117" s="512"/>
      <c r="G1117" s="480"/>
      <c r="H1117" s="481"/>
      <c r="I1117" s="482"/>
      <c r="J1117" s="483">
        <v>10.136945606160719</v>
      </c>
      <c r="K1117" s="480">
        <v>1300</v>
      </c>
      <c r="L1117" s="481"/>
      <c r="M1117" s="482"/>
      <c r="N1117" s="483"/>
      <c r="O1117" s="513"/>
      <c r="P1117" s="514">
        <v>1717</v>
      </c>
      <c r="Q1117" s="486">
        <v>3.73</v>
      </c>
      <c r="R1117" s="485">
        <v>3.55</v>
      </c>
      <c r="S1117" s="515">
        <v>12</v>
      </c>
      <c r="T1117" s="516">
        <v>139</v>
      </c>
      <c r="U1117" s="490">
        <v>16</v>
      </c>
      <c r="V1117" s="373"/>
      <c r="W1117" s="391" t="s">
        <v>511</v>
      </c>
    </row>
    <row r="1118" spans="1:23">
      <c r="A1118" s="476" t="s">
        <v>1589</v>
      </c>
      <c r="B1118" s="542">
        <v>64.5</v>
      </c>
      <c r="C1118" s="543">
        <v>18</v>
      </c>
      <c r="D1118" s="543">
        <v>21</v>
      </c>
      <c r="E1118" s="544">
        <v>4.78</v>
      </c>
      <c r="F1118" s="512"/>
      <c r="G1118" s="480"/>
      <c r="H1118" s="481"/>
      <c r="I1118" s="482"/>
      <c r="J1118" s="483">
        <v>18.813539541609121</v>
      </c>
      <c r="K1118" s="480">
        <v>670</v>
      </c>
      <c r="L1118" s="481"/>
      <c r="M1118" s="482"/>
      <c r="N1118" s="483"/>
      <c r="O1118" s="513"/>
      <c r="P1118" s="514">
        <v>893</v>
      </c>
      <c r="Q1118" s="486">
        <v>5.6899999999999995</v>
      </c>
      <c r="R1118" s="485">
        <v>4.83</v>
      </c>
      <c r="S1118" s="515">
        <v>19</v>
      </c>
      <c r="T1118" s="516">
        <v>268</v>
      </c>
      <c r="U1118" s="490">
        <v>16</v>
      </c>
      <c r="V1118" s="373"/>
      <c r="W1118" s="391" t="s">
        <v>511</v>
      </c>
    </row>
    <row r="1119" spans="1:23">
      <c r="A1119" s="476" t="s">
        <v>1590</v>
      </c>
      <c r="B1119" s="542">
        <v>46.1</v>
      </c>
      <c r="C1119" s="543">
        <v>18</v>
      </c>
      <c r="D1119" s="543">
        <v>18.8</v>
      </c>
      <c r="E1119" s="544">
        <v>5.67</v>
      </c>
      <c r="F1119" s="512"/>
      <c r="G1119" s="480"/>
      <c r="H1119" s="481"/>
      <c r="I1119" s="482"/>
      <c r="J1119" s="483"/>
      <c r="K1119" s="480"/>
      <c r="L1119" s="481">
        <v>13.222102964557459</v>
      </c>
      <c r="M1119" s="482">
        <v>1625</v>
      </c>
      <c r="N1119" s="483"/>
      <c r="O1119" s="513"/>
      <c r="P1119" s="514">
        <v>1975</v>
      </c>
      <c r="Q1119" s="486">
        <v>9.49</v>
      </c>
      <c r="R1119" s="485">
        <v>3.39</v>
      </c>
      <c r="S1119" s="515">
        <v>13</v>
      </c>
      <c r="T1119" s="516">
        <v>203</v>
      </c>
      <c r="U1119" s="490">
        <v>24</v>
      </c>
      <c r="V1119" s="373"/>
      <c r="W1119" s="391" t="s">
        <v>511</v>
      </c>
    </row>
    <row r="1120" spans="1:23">
      <c r="A1120" s="476" t="s">
        <v>1591</v>
      </c>
      <c r="B1120" s="542">
        <v>46.1</v>
      </c>
      <c r="C1120" s="543">
        <v>18</v>
      </c>
      <c r="D1120" s="543">
        <v>18.8</v>
      </c>
      <c r="E1120" s="544">
        <v>5.67</v>
      </c>
      <c r="F1120" s="512"/>
      <c r="G1120" s="480"/>
      <c r="H1120" s="481"/>
      <c r="I1120" s="482"/>
      <c r="J1120" s="483"/>
      <c r="K1120" s="480"/>
      <c r="L1120" s="481"/>
      <c r="M1120" s="482"/>
      <c r="N1120" s="483">
        <v>10.713844949600761</v>
      </c>
      <c r="O1120" s="513">
        <v>2050</v>
      </c>
      <c r="P1120" s="514">
        <v>2370</v>
      </c>
      <c r="Q1120" s="486">
        <v>9.49</v>
      </c>
      <c r="R1120" s="485">
        <v>3.39</v>
      </c>
      <c r="S1120" s="515">
        <v>13</v>
      </c>
      <c r="T1120" s="516">
        <v>203</v>
      </c>
      <c r="U1120" s="490">
        <v>24</v>
      </c>
      <c r="V1120" s="373"/>
      <c r="W1120" s="391" t="s">
        <v>511</v>
      </c>
    </row>
    <row r="1121" spans="1:23">
      <c r="A1121" s="476" t="s">
        <v>1592</v>
      </c>
      <c r="B1121" s="542">
        <v>115</v>
      </c>
      <c r="C1121" s="543">
        <v>23.4</v>
      </c>
      <c r="D1121" s="543">
        <v>33.5</v>
      </c>
      <c r="E1121" s="544">
        <v>5.22</v>
      </c>
      <c r="F1121" s="512"/>
      <c r="G1121" s="480"/>
      <c r="H1121" s="481"/>
      <c r="I1121" s="482"/>
      <c r="J1121" s="483"/>
      <c r="K1121" s="480"/>
      <c r="L1121" s="481">
        <v>26.795904964199107</v>
      </c>
      <c r="M1121" s="482">
        <v>825</v>
      </c>
      <c r="N1121" s="483"/>
      <c r="O1121" s="513"/>
      <c r="P1121" s="514">
        <v>1023</v>
      </c>
      <c r="Q1121" s="486">
        <v>14.9</v>
      </c>
      <c r="R1121" s="485">
        <v>4.4000000000000004</v>
      </c>
      <c r="S1121" s="515">
        <v>22</v>
      </c>
      <c r="T1121" s="516">
        <v>390</v>
      </c>
      <c r="U1121" s="490">
        <v>24</v>
      </c>
      <c r="V1121" s="373"/>
      <c r="W1121" s="391" t="s">
        <v>511</v>
      </c>
    </row>
    <row r="1122" spans="1:23">
      <c r="A1122" s="476" t="s">
        <v>1593</v>
      </c>
      <c r="B1122" s="542">
        <v>115</v>
      </c>
      <c r="C1122" s="543">
        <v>23.4</v>
      </c>
      <c r="D1122" s="543">
        <v>33.5</v>
      </c>
      <c r="E1122" s="544">
        <v>5.22</v>
      </c>
      <c r="F1122" s="512"/>
      <c r="G1122" s="480"/>
      <c r="H1122" s="481"/>
      <c r="I1122" s="482"/>
      <c r="J1122" s="483"/>
      <c r="K1122" s="480"/>
      <c r="L1122" s="481"/>
      <c r="M1122" s="482"/>
      <c r="N1122" s="483">
        <v>24.931661036070302</v>
      </c>
      <c r="O1122" s="513">
        <v>1015</v>
      </c>
      <c r="P1122" s="514">
        <v>1228</v>
      </c>
      <c r="Q1122" s="486">
        <v>14.9</v>
      </c>
      <c r="R1122" s="485">
        <v>4.4000000000000004</v>
      </c>
      <c r="S1122" s="515">
        <v>22</v>
      </c>
      <c r="T1122" s="516">
        <v>390</v>
      </c>
      <c r="U1122" s="490">
        <v>24</v>
      </c>
      <c r="V1122" s="373"/>
      <c r="W1122" s="391" t="s">
        <v>511</v>
      </c>
    </row>
    <row r="1123" spans="1:23">
      <c r="A1123" s="476" t="s">
        <v>1594</v>
      </c>
      <c r="B1123" s="542">
        <v>218</v>
      </c>
      <c r="C1123" s="543">
        <v>26.1</v>
      </c>
      <c r="D1123" s="543">
        <v>59.9</v>
      </c>
      <c r="E1123" s="544">
        <v>5.47</v>
      </c>
      <c r="F1123" s="512"/>
      <c r="G1123" s="480"/>
      <c r="H1123" s="481"/>
      <c r="I1123" s="482"/>
      <c r="J1123" s="483"/>
      <c r="K1123" s="480"/>
      <c r="L1123" s="481">
        <v>51.264644827494706</v>
      </c>
      <c r="M1123" s="482">
        <v>475</v>
      </c>
      <c r="N1123" s="483"/>
      <c r="O1123" s="513"/>
      <c r="P1123" s="514">
        <v>597</v>
      </c>
      <c r="Q1123" s="486">
        <v>25.2</v>
      </c>
      <c r="R1123" s="485">
        <v>5.92</v>
      </c>
      <c r="S1123" s="515">
        <v>35</v>
      </c>
      <c r="T1123" s="516">
        <v>669</v>
      </c>
      <c r="U1123" s="490">
        <v>24</v>
      </c>
      <c r="V1123" s="373"/>
      <c r="W1123" s="391" t="s">
        <v>511</v>
      </c>
    </row>
    <row r="1124" spans="1:23">
      <c r="A1124" s="476" t="s">
        <v>1595</v>
      </c>
      <c r="B1124" s="542">
        <v>218</v>
      </c>
      <c r="C1124" s="543">
        <v>26.1</v>
      </c>
      <c r="D1124" s="543">
        <v>59.9</v>
      </c>
      <c r="E1124" s="544">
        <v>5.47</v>
      </c>
      <c r="F1124" s="512"/>
      <c r="G1124" s="480"/>
      <c r="H1124" s="481"/>
      <c r="I1124" s="482"/>
      <c r="J1124" s="483"/>
      <c r="K1124" s="480"/>
      <c r="L1124" s="481"/>
      <c r="M1124" s="482"/>
      <c r="N1124" s="483">
        <v>49.392913373346836</v>
      </c>
      <c r="O1124" s="513">
        <v>580</v>
      </c>
      <c r="P1124" s="514">
        <v>717</v>
      </c>
      <c r="Q1124" s="486">
        <v>25.2</v>
      </c>
      <c r="R1124" s="485">
        <v>5.92</v>
      </c>
      <c r="S1124" s="515">
        <v>35</v>
      </c>
      <c r="T1124" s="516">
        <v>669</v>
      </c>
      <c r="U1124" s="490">
        <v>24</v>
      </c>
      <c r="V1124" s="373"/>
      <c r="W1124" s="391" t="s">
        <v>511</v>
      </c>
    </row>
    <row r="1125" spans="1:23">
      <c r="A1125" s="476" t="s">
        <v>1596</v>
      </c>
      <c r="B1125" s="542">
        <v>46.1</v>
      </c>
      <c r="C1125" s="543">
        <v>18</v>
      </c>
      <c r="D1125" s="543">
        <v>18.8</v>
      </c>
      <c r="E1125" s="544">
        <v>5.67</v>
      </c>
      <c r="F1125" s="512"/>
      <c r="G1125" s="480"/>
      <c r="H1125" s="481"/>
      <c r="I1125" s="482"/>
      <c r="J1125" s="483">
        <v>16.00592325412811</v>
      </c>
      <c r="K1125" s="480">
        <v>880</v>
      </c>
      <c r="L1125" s="481"/>
      <c r="M1125" s="482"/>
      <c r="N1125" s="483"/>
      <c r="O1125" s="513"/>
      <c r="P1125" s="514">
        <v>1183</v>
      </c>
      <c r="Q1125" s="486">
        <v>9.49</v>
      </c>
      <c r="R1125" s="485">
        <v>3.39</v>
      </c>
      <c r="S1125" s="515">
        <v>13</v>
      </c>
      <c r="T1125" s="516">
        <v>203</v>
      </c>
      <c r="U1125" s="490">
        <v>24</v>
      </c>
      <c r="V1125" s="373"/>
      <c r="W1125" s="391" t="s">
        <v>511</v>
      </c>
    </row>
    <row r="1126" spans="1:23">
      <c r="A1126" s="476" t="s">
        <v>1597</v>
      </c>
      <c r="B1126" s="542">
        <v>115</v>
      </c>
      <c r="C1126" s="543">
        <v>23.4</v>
      </c>
      <c r="D1126" s="543">
        <v>33.5</v>
      </c>
      <c r="E1126" s="544">
        <v>5.22</v>
      </c>
      <c r="F1126" s="512"/>
      <c r="G1126" s="480"/>
      <c r="H1126" s="481"/>
      <c r="I1126" s="482"/>
      <c r="J1126" s="483">
        <v>29.506253494564866</v>
      </c>
      <c r="K1126" s="480">
        <v>445</v>
      </c>
      <c r="L1126" s="481"/>
      <c r="M1126" s="482"/>
      <c r="N1126" s="483"/>
      <c r="O1126" s="513"/>
      <c r="P1126" s="514">
        <v>612</v>
      </c>
      <c r="Q1126" s="486">
        <v>14.9</v>
      </c>
      <c r="R1126" s="485">
        <v>4.4000000000000004</v>
      </c>
      <c r="S1126" s="515">
        <v>22</v>
      </c>
      <c r="T1126" s="516">
        <v>390</v>
      </c>
      <c r="U1126" s="490">
        <v>24</v>
      </c>
      <c r="V1126" s="373"/>
      <c r="W1126" s="391" t="s">
        <v>511</v>
      </c>
    </row>
    <row r="1127" spans="1:23">
      <c r="A1127" s="476" t="s">
        <v>1598</v>
      </c>
      <c r="B1127" s="542">
        <v>218</v>
      </c>
      <c r="C1127" s="543">
        <v>26.1</v>
      </c>
      <c r="D1127" s="543">
        <v>59.9</v>
      </c>
      <c r="E1127" s="544">
        <v>5.47</v>
      </c>
      <c r="F1127" s="512"/>
      <c r="G1127" s="480"/>
      <c r="H1127" s="481"/>
      <c r="I1127" s="482"/>
      <c r="J1127" s="483">
        <v>53.858032742297389</v>
      </c>
      <c r="K1127" s="480">
        <v>250</v>
      </c>
      <c r="L1127" s="481"/>
      <c r="M1127" s="482"/>
      <c r="N1127" s="483"/>
      <c r="O1127" s="513"/>
      <c r="P1127" s="514">
        <v>357</v>
      </c>
      <c r="Q1127" s="486">
        <v>25.2</v>
      </c>
      <c r="R1127" s="485">
        <v>5.92</v>
      </c>
      <c r="S1127" s="515">
        <v>35</v>
      </c>
      <c r="T1127" s="516">
        <v>669</v>
      </c>
      <c r="U1127" s="490">
        <v>24</v>
      </c>
      <c r="V1127" s="373"/>
      <c r="W1127" s="391" t="s">
        <v>511</v>
      </c>
    </row>
    <row r="1128" spans="1:23">
      <c r="A1128" s="476" t="s">
        <v>1599</v>
      </c>
      <c r="B1128" s="542">
        <v>152</v>
      </c>
      <c r="C1128" s="543">
        <v>20.8</v>
      </c>
      <c r="D1128" s="543">
        <v>43.4</v>
      </c>
      <c r="E1128" s="544">
        <v>4.95</v>
      </c>
      <c r="F1128" s="512"/>
      <c r="G1128" s="480"/>
      <c r="H1128" s="481"/>
      <c r="I1128" s="482"/>
      <c r="J1128" s="483"/>
      <c r="K1128" s="480"/>
      <c r="L1128" s="481">
        <v>35.571129781038607</v>
      </c>
      <c r="M1128" s="482">
        <v>600</v>
      </c>
      <c r="N1128" s="483"/>
      <c r="O1128" s="513"/>
      <c r="P1128" s="514">
        <v>744</v>
      </c>
      <c r="Q1128" s="486">
        <v>44.5</v>
      </c>
      <c r="R1128" s="485">
        <v>6.26</v>
      </c>
      <c r="S1128" s="515">
        <v>23</v>
      </c>
      <c r="T1128" s="516">
        <v>534</v>
      </c>
      <c r="U1128" s="490">
        <v>32</v>
      </c>
      <c r="V1128" s="373"/>
      <c r="W1128" s="391" t="s">
        <v>511</v>
      </c>
    </row>
    <row r="1129" spans="1:23">
      <c r="A1129" s="476" t="s">
        <v>1600</v>
      </c>
      <c r="B1129" s="542">
        <v>152</v>
      </c>
      <c r="C1129" s="543">
        <v>20.8</v>
      </c>
      <c r="D1129" s="543">
        <v>43.4</v>
      </c>
      <c r="E1129" s="544">
        <v>4.95</v>
      </c>
      <c r="F1129" s="512"/>
      <c r="G1129" s="480"/>
      <c r="H1129" s="481"/>
      <c r="I1129" s="482"/>
      <c r="J1129" s="483"/>
      <c r="K1129" s="480"/>
      <c r="L1129" s="481"/>
      <c r="M1129" s="482"/>
      <c r="N1129" s="483">
        <v>33.814974895278034</v>
      </c>
      <c r="O1129" s="513">
        <v>730</v>
      </c>
      <c r="P1129" s="514">
        <v>894</v>
      </c>
      <c r="Q1129" s="486">
        <v>44.5</v>
      </c>
      <c r="R1129" s="485">
        <v>6.26</v>
      </c>
      <c r="S1129" s="515">
        <v>23</v>
      </c>
      <c r="T1129" s="516">
        <v>534</v>
      </c>
      <c r="U1129" s="490">
        <v>32</v>
      </c>
      <c r="V1129" s="373"/>
      <c r="W1129" s="391" t="s">
        <v>511</v>
      </c>
    </row>
    <row r="1130" spans="1:23">
      <c r="A1130" s="476" t="s">
        <v>1601</v>
      </c>
      <c r="B1130" s="542">
        <v>319</v>
      </c>
      <c r="C1130" s="543">
        <v>26.1</v>
      </c>
      <c r="D1130" s="543">
        <v>79.31</v>
      </c>
      <c r="E1130" s="544">
        <v>5.39</v>
      </c>
      <c r="F1130" s="512"/>
      <c r="G1130" s="480"/>
      <c r="H1130" s="481"/>
      <c r="I1130" s="482"/>
      <c r="J1130" s="483"/>
      <c r="K1130" s="480"/>
      <c r="L1130" s="481">
        <v>67.254331666546648</v>
      </c>
      <c r="M1130" s="482">
        <v>350</v>
      </c>
      <c r="N1130" s="483"/>
      <c r="O1130" s="513"/>
      <c r="P1130" s="514">
        <v>443</v>
      </c>
      <c r="Q1130" s="486">
        <v>71.5</v>
      </c>
      <c r="R1130" s="485">
        <v>6.4</v>
      </c>
      <c r="S1130" s="515">
        <v>32</v>
      </c>
      <c r="T1130" s="516">
        <v>901</v>
      </c>
      <c r="U1130" s="490">
        <v>32</v>
      </c>
      <c r="V1130" s="373"/>
      <c r="W1130" s="391" t="s">
        <v>511</v>
      </c>
    </row>
    <row r="1131" spans="1:23">
      <c r="A1131" s="476" t="s">
        <v>1602</v>
      </c>
      <c r="B1131" s="542">
        <v>319</v>
      </c>
      <c r="C1131" s="543">
        <v>26.1</v>
      </c>
      <c r="D1131" s="543">
        <v>79.31</v>
      </c>
      <c r="E1131" s="544">
        <v>5.39</v>
      </c>
      <c r="F1131" s="512"/>
      <c r="G1131" s="480"/>
      <c r="H1131" s="481"/>
      <c r="I1131" s="482"/>
      <c r="J1131" s="483"/>
      <c r="K1131" s="480"/>
      <c r="L1131" s="481"/>
      <c r="M1131" s="482"/>
      <c r="N1131" s="483">
        <v>64.846386115581552</v>
      </c>
      <c r="O1131" s="513">
        <v>430</v>
      </c>
      <c r="P1131" s="514">
        <v>532</v>
      </c>
      <c r="Q1131" s="486">
        <v>71.5</v>
      </c>
      <c r="R1131" s="485">
        <v>6.4</v>
      </c>
      <c r="S1131" s="515">
        <v>32</v>
      </c>
      <c r="T1131" s="516">
        <v>901</v>
      </c>
      <c r="U1131" s="490">
        <v>32</v>
      </c>
      <c r="V1131" s="373"/>
      <c r="W1131" s="391" t="s">
        <v>511</v>
      </c>
    </row>
    <row r="1132" spans="1:23">
      <c r="A1132" s="476" t="s">
        <v>1603</v>
      </c>
      <c r="B1132" s="542">
        <v>637</v>
      </c>
      <c r="C1132" s="543">
        <v>36.700000000000003</v>
      </c>
      <c r="D1132" s="543">
        <v>143</v>
      </c>
      <c r="E1132" s="544">
        <v>6.76</v>
      </c>
      <c r="F1132" s="512"/>
      <c r="G1132" s="480"/>
      <c r="H1132" s="481"/>
      <c r="I1132" s="482"/>
      <c r="J1132" s="483"/>
      <c r="K1132" s="480"/>
      <c r="L1132" s="481">
        <v>122.74824985962429</v>
      </c>
      <c r="M1132" s="482">
        <v>240</v>
      </c>
      <c r="N1132" s="483"/>
      <c r="O1132" s="513"/>
      <c r="P1132" s="514">
        <v>307</v>
      </c>
      <c r="Q1132" s="486">
        <v>125</v>
      </c>
      <c r="R1132" s="485">
        <v>5.75</v>
      </c>
      <c r="S1132" s="515">
        <v>34</v>
      </c>
      <c r="T1132" s="516">
        <v>1300</v>
      </c>
      <c r="U1132" s="490">
        <v>32</v>
      </c>
      <c r="V1132" s="373"/>
      <c r="W1132" s="391" t="s">
        <v>511</v>
      </c>
    </row>
    <row r="1133" spans="1:23">
      <c r="A1133" s="476" t="s">
        <v>1604</v>
      </c>
      <c r="B1133" s="542">
        <v>637</v>
      </c>
      <c r="C1133" s="543">
        <v>36.700000000000003</v>
      </c>
      <c r="D1133" s="543">
        <v>143</v>
      </c>
      <c r="E1133" s="544">
        <v>6.76</v>
      </c>
      <c r="F1133" s="512"/>
      <c r="G1133" s="480"/>
      <c r="H1133" s="481"/>
      <c r="I1133" s="482"/>
      <c r="J1133" s="483"/>
      <c r="K1133" s="480"/>
      <c r="L1133" s="481"/>
      <c r="M1133" s="482"/>
      <c r="N1133" s="483">
        <v>119.2070523758296</v>
      </c>
      <c r="O1133" s="513">
        <v>300</v>
      </c>
      <c r="P1133" s="514">
        <v>369</v>
      </c>
      <c r="Q1133" s="486">
        <v>125</v>
      </c>
      <c r="R1133" s="485">
        <v>5.75</v>
      </c>
      <c r="S1133" s="515">
        <v>34</v>
      </c>
      <c r="T1133" s="516">
        <v>1300</v>
      </c>
      <c r="U1133" s="490">
        <v>32</v>
      </c>
      <c r="V1133" s="373"/>
      <c r="W1133" s="391" t="s">
        <v>511</v>
      </c>
    </row>
    <row r="1134" spans="1:23">
      <c r="A1134" s="476" t="s">
        <v>1605</v>
      </c>
      <c r="B1134" s="542">
        <v>152</v>
      </c>
      <c r="C1134" s="543">
        <v>20.8</v>
      </c>
      <c r="D1134" s="543">
        <v>43.4</v>
      </c>
      <c r="E1134" s="544">
        <v>4.95</v>
      </c>
      <c r="F1134" s="512"/>
      <c r="G1134" s="480"/>
      <c r="H1134" s="481"/>
      <c r="I1134" s="482"/>
      <c r="J1134" s="483">
        <v>38.505228167394037</v>
      </c>
      <c r="K1134" s="480">
        <v>310</v>
      </c>
      <c r="L1134" s="481"/>
      <c r="M1134" s="482"/>
      <c r="N1134" s="483"/>
      <c r="O1134" s="513"/>
      <c r="P1134" s="514">
        <v>445</v>
      </c>
      <c r="Q1134" s="486">
        <v>44.5</v>
      </c>
      <c r="R1134" s="485">
        <v>6.26</v>
      </c>
      <c r="S1134" s="515">
        <v>23</v>
      </c>
      <c r="T1134" s="516">
        <v>534</v>
      </c>
      <c r="U1134" s="490">
        <v>32</v>
      </c>
      <c r="V1134" s="373"/>
      <c r="W1134" s="391" t="s">
        <v>511</v>
      </c>
    </row>
    <row r="1135" spans="1:23">
      <c r="A1135" s="476" t="s">
        <v>1606</v>
      </c>
      <c r="B1135" s="542">
        <v>319</v>
      </c>
      <c r="C1135" s="543">
        <v>26.1</v>
      </c>
      <c r="D1135" s="543">
        <v>79.31</v>
      </c>
      <c r="E1135" s="544">
        <v>5.39</v>
      </c>
      <c r="F1135" s="512"/>
      <c r="G1135" s="480"/>
      <c r="H1135" s="481"/>
      <c r="I1135" s="482"/>
      <c r="J1135" s="483">
        <v>71.354466152866408</v>
      </c>
      <c r="K1135" s="480">
        <v>180</v>
      </c>
      <c r="L1135" s="481"/>
      <c r="M1135" s="482"/>
      <c r="N1135" s="483"/>
      <c r="O1135" s="513"/>
      <c r="P1135" s="514">
        <v>265</v>
      </c>
      <c r="Q1135" s="486">
        <v>71.5</v>
      </c>
      <c r="R1135" s="485">
        <v>6.4</v>
      </c>
      <c r="S1135" s="515">
        <v>32</v>
      </c>
      <c r="T1135" s="516">
        <v>901</v>
      </c>
      <c r="U1135" s="490">
        <v>32</v>
      </c>
      <c r="V1135" s="373"/>
      <c r="W1135" s="391" t="s">
        <v>511</v>
      </c>
    </row>
    <row r="1136" spans="1:23">
      <c r="A1136" s="476" t="s">
        <v>1607</v>
      </c>
      <c r="B1136" s="542">
        <v>637</v>
      </c>
      <c r="C1136" s="543">
        <v>36.700000000000003</v>
      </c>
      <c r="D1136" s="543">
        <v>143</v>
      </c>
      <c r="E1136" s="544">
        <v>6.76</v>
      </c>
      <c r="F1136" s="512"/>
      <c r="G1136" s="480"/>
      <c r="H1136" s="481"/>
      <c r="I1136" s="482"/>
      <c r="J1136" s="483">
        <v>128.72451797272495</v>
      </c>
      <c r="K1136" s="480">
        <v>125</v>
      </c>
      <c r="L1136" s="481"/>
      <c r="M1136" s="482"/>
      <c r="N1136" s="483"/>
      <c r="O1136" s="513"/>
      <c r="P1136" s="514">
        <v>184</v>
      </c>
      <c r="Q1136" s="486">
        <v>125</v>
      </c>
      <c r="R1136" s="485">
        <v>5.75</v>
      </c>
      <c r="S1136" s="515">
        <v>34</v>
      </c>
      <c r="T1136" s="516">
        <v>1300</v>
      </c>
      <c r="U1136" s="490">
        <v>32</v>
      </c>
      <c r="V1136" s="373"/>
      <c r="W1136" s="391" t="s">
        <v>511</v>
      </c>
    </row>
    <row r="1137" spans="1:23">
      <c r="A1137" s="476" t="s">
        <v>1608</v>
      </c>
      <c r="B1137" s="542">
        <v>994</v>
      </c>
      <c r="C1137" s="543">
        <v>151</v>
      </c>
      <c r="D1137" s="543">
        <v>325</v>
      </c>
      <c r="E1137" s="544">
        <v>43.7</v>
      </c>
      <c r="F1137" s="512"/>
      <c r="G1137" s="480"/>
      <c r="H1137" s="481"/>
      <c r="I1137" s="482"/>
      <c r="J1137" s="483"/>
      <c r="K1137" s="480"/>
      <c r="L1137" s="481">
        <v>109.48238123518914</v>
      </c>
      <c r="M1137" s="482">
        <v>785</v>
      </c>
      <c r="N1137" s="483"/>
      <c r="O1137" s="513"/>
      <c r="P1137" s="514">
        <v>872</v>
      </c>
      <c r="Q1137" s="486">
        <v>315</v>
      </c>
      <c r="R1137" s="485">
        <v>0.27600000000000002</v>
      </c>
      <c r="S1137" s="515">
        <v>2.5</v>
      </c>
      <c r="T1137" s="516">
        <v>648</v>
      </c>
      <c r="U1137" s="490">
        <v>38</v>
      </c>
      <c r="V1137" s="373"/>
      <c r="W1137" s="391" t="s">
        <v>511</v>
      </c>
    </row>
    <row r="1138" spans="1:23">
      <c r="A1138" s="476" t="s">
        <v>1609</v>
      </c>
      <c r="B1138" s="542">
        <v>1451</v>
      </c>
      <c r="C1138" s="543">
        <v>171</v>
      </c>
      <c r="D1138" s="543">
        <v>445</v>
      </c>
      <c r="E1138" s="544">
        <v>46.5</v>
      </c>
      <c r="F1138" s="512"/>
      <c r="G1138" s="480"/>
      <c r="H1138" s="481"/>
      <c r="I1138" s="482"/>
      <c r="J1138" s="483"/>
      <c r="K1138" s="480"/>
      <c r="L1138" s="481">
        <v>239.54167706034417</v>
      </c>
      <c r="M1138" s="482">
        <v>590</v>
      </c>
      <c r="N1138" s="483"/>
      <c r="O1138" s="513"/>
      <c r="P1138" s="514">
        <v>685</v>
      </c>
      <c r="Q1138" s="486">
        <v>403</v>
      </c>
      <c r="R1138" s="485">
        <v>0.29199999999999998</v>
      </c>
      <c r="S1138" s="515">
        <v>2.7</v>
      </c>
      <c r="T1138" s="516">
        <v>585</v>
      </c>
      <c r="U1138" s="490">
        <v>38</v>
      </c>
      <c r="V1138" s="373"/>
      <c r="W1138" s="391" t="s">
        <v>511</v>
      </c>
    </row>
    <row r="1139" spans="1:23">
      <c r="A1139" s="476" t="s">
        <v>1610</v>
      </c>
      <c r="B1139" s="542">
        <v>1451</v>
      </c>
      <c r="C1139" s="543">
        <v>171</v>
      </c>
      <c r="D1139" s="543">
        <v>445</v>
      </c>
      <c r="E1139" s="544">
        <v>46.5</v>
      </c>
      <c r="F1139" s="512"/>
      <c r="G1139" s="480"/>
      <c r="H1139" s="481"/>
      <c r="I1139" s="482"/>
      <c r="J1139" s="483"/>
      <c r="K1139" s="480"/>
      <c r="L1139" s="481"/>
      <c r="M1139" s="482"/>
      <c r="N1139" s="483">
        <v>139.13728616498514</v>
      </c>
      <c r="O1139" s="513">
        <v>710</v>
      </c>
      <c r="P1139" s="514">
        <v>822</v>
      </c>
      <c r="Q1139" s="486">
        <v>403</v>
      </c>
      <c r="R1139" s="485">
        <v>0.29199999999999998</v>
      </c>
      <c r="S1139" s="515">
        <v>2.7</v>
      </c>
      <c r="T1139" s="516">
        <v>585</v>
      </c>
      <c r="U1139" s="490">
        <v>38</v>
      </c>
      <c r="V1139" s="373"/>
      <c r="W1139" s="391" t="s">
        <v>511</v>
      </c>
    </row>
    <row r="1140" spans="1:23">
      <c r="A1140" s="476" t="s">
        <v>1611</v>
      </c>
      <c r="B1140" s="542">
        <v>1932</v>
      </c>
      <c r="C1140" s="543">
        <v>171</v>
      </c>
      <c r="D1140" s="543">
        <v>560</v>
      </c>
      <c r="E1140" s="544">
        <v>44</v>
      </c>
      <c r="F1140" s="512"/>
      <c r="G1140" s="480"/>
      <c r="H1140" s="481"/>
      <c r="I1140" s="482"/>
      <c r="J1140" s="483"/>
      <c r="K1140" s="480"/>
      <c r="L1140" s="481">
        <v>374.83733148884318</v>
      </c>
      <c r="M1140" s="482">
        <v>435</v>
      </c>
      <c r="N1140" s="483"/>
      <c r="O1140" s="513"/>
      <c r="P1140" s="514">
        <v>516</v>
      </c>
      <c r="Q1140" s="486">
        <v>591</v>
      </c>
      <c r="R1140" s="485">
        <v>0.373</v>
      </c>
      <c r="S1140" s="515">
        <v>4.3</v>
      </c>
      <c r="T1140" s="516">
        <v>775</v>
      </c>
      <c r="U1140" s="490">
        <v>38</v>
      </c>
      <c r="V1140" s="373"/>
      <c r="W1140" s="391" t="s">
        <v>511</v>
      </c>
    </row>
    <row r="1141" spans="1:23">
      <c r="A1141" s="476" t="s">
        <v>1612</v>
      </c>
      <c r="B1141" s="542">
        <v>1932</v>
      </c>
      <c r="C1141" s="543">
        <v>171</v>
      </c>
      <c r="D1141" s="543">
        <v>560</v>
      </c>
      <c r="E1141" s="544">
        <v>44</v>
      </c>
      <c r="F1141" s="512"/>
      <c r="G1141" s="480"/>
      <c r="H1141" s="481"/>
      <c r="I1141" s="482"/>
      <c r="J1141" s="483"/>
      <c r="K1141" s="480"/>
      <c r="L1141" s="481"/>
      <c r="M1141" s="482"/>
      <c r="N1141" s="483">
        <v>302.72162633703306</v>
      </c>
      <c r="O1141" s="513">
        <v>535</v>
      </c>
      <c r="P1141" s="514">
        <v>619</v>
      </c>
      <c r="Q1141" s="486">
        <v>591</v>
      </c>
      <c r="R1141" s="485">
        <v>0.373</v>
      </c>
      <c r="S1141" s="515">
        <v>4.3</v>
      </c>
      <c r="T1141" s="516">
        <v>775</v>
      </c>
      <c r="U1141" s="490">
        <v>38</v>
      </c>
      <c r="V1141" s="373"/>
      <c r="W1141" s="391" t="s">
        <v>511</v>
      </c>
    </row>
    <row r="1142" spans="1:23">
      <c r="A1142" s="476" t="s">
        <v>1613</v>
      </c>
      <c r="B1142" s="542">
        <v>2400</v>
      </c>
      <c r="C1142" s="543">
        <v>171</v>
      </c>
      <c r="D1142" s="543">
        <v>672</v>
      </c>
      <c r="E1142" s="544">
        <v>42.8</v>
      </c>
      <c r="F1142" s="512"/>
      <c r="G1142" s="480"/>
      <c r="H1142" s="481"/>
      <c r="I1142" s="482"/>
      <c r="J1142" s="483"/>
      <c r="K1142" s="480"/>
      <c r="L1142" s="481">
        <v>502.32108656444967</v>
      </c>
      <c r="M1142" s="482">
        <v>340</v>
      </c>
      <c r="N1142" s="483"/>
      <c r="O1142" s="513"/>
      <c r="P1142" s="514">
        <v>413</v>
      </c>
      <c r="Q1142" s="486">
        <v>698</v>
      </c>
      <c r="R1142" s="485">
        <v>0.45500000000000002</v>
      </c>
      <c r="S1142" s="515">
        <v>4.5</v>
      </c>
      <c r="T1142" s="516">
        <v>970</v>
      </c>
      <c r="U1142" s="490">
        <v>38</v>
      </c>
      <c r="V1142" s="373"/>
      <c r="W1142" s="391" t="s">
        <v>511</v>
      </c>
    </row>
    <row r="1143" spans="1:23">
      <c r="A1143" s="476" t="s">
        <v>1614</v>
      </c>
      <c r="B1143" s="542">
        <v>2400</v>
      </c>
      <c r="C1143" s="543">
        <v>171</v>
      </c>
      <c r="D1143" s="543">
        <v>672</v>
      </c>
      <c r="E1143" s="544">
        <v>42.8</v>
      </c>
      <c r="F1143" s="512"/>
      <c r="G1143" s="480"/>
      <c r="H1143" s="481"/>
      <c r="I1143" s="482"/>
      <c r="J1143" s="483"/>
      <c r="K1143" s="480"/>
      <c r="L1143" s="481"/>
      <c r="M1143" s="482"/>
      <c r="N1143" s="483">
        <v>450.74953525668928</v>
      </c>
      <c r="O1143" s="513">
        <v>420</v>
      </c>
      <c r="P1143" s="514">
        <v>495</v>
      </c>
      <c r="Q1143" s="486">
        <v>698</v>
      </c>
      <c r="R1143" s="485">
        <v>0.45500000000000002</v>
      </c>
      <c r="S1143" s="515">
        <v>4.5</v>
      </c>
      <c r="T1143" s="516">
        <v>970</v>
      </c>
      <c r="U1143" s="490">
        <v>38</v>
      </c>
      <c r="V1143" s="373"/>
      <c r="W1143" s="391" t="s">
        <v>511</v>
      </c>
    </row>
    <row r="1144" spans="1:23">
      <c r="A1144" s="476" t="s">
        <v>1615</v>
      </c>
      <c r="B1144" s="542">
        <v>994</v>
      </c>
      <c r="C1144" s="543">
        <v>151</v>
      </c>
      <c r="D1144" s="543">
        <v>325</v>
      </c>
      <c r="E1144" s="544">
        <v>43.7</v>
      </c>
      <c r="F1144" s="512"/>
      <c r="G1144" s="480"/>
      <c r="H1144" s="481"/>
      <c r="I1144" s="482"/>
      <c r="J1144" s="483">
        <v>252.45952847951898</v>
      </c>
      <c r="K1144" s="480">
        <v>400</v>
      </c>
      <c r="L1144" s="481"/>
      <c r="M1144" s="482"/>
      <c r="N1144" s="483"/>
      <c r="O1144" s="513"/>
      <c r="P1144" s="514">
        <v>523</v>
      </c>
      <c r="Q1144" s="486">
        <v>315</v>
      </c>
      <c r="R1144" s="485">
        <v>0.27600000000000002</v>
      </c>
      <c r="S1144" s="515">
        <v>2.5</v>
      </c>
      <c r="T1144" s="516">
        <v>648</v>
      </c>
      <c r="U1144" s="490">
        <v>38</v>
      </c>
      <c r="V1144" s="373"/>
      <c r="W1144" s="391" t="s">
        <v>511</v>
      </c>
    </row>
    <row r="1145" spans="1:23">
      <c r="A1145" s="476" t="s">
        <v>1616</v>
      </c>
      <c r="B1145" s="542">
        <v>1451</v>
      </c>
      <c r="C1145" s="543">
        <v>171</v>
      </c>
      <c r="D1145" s="543">
        <v>445</v>
      </c>
      <c r="E1145" s="544">
        <v>46.5</v>
      </c>
      <c r="F1145" s="512"/>
      <c r="G1145" s="480"/>
      <c r="H1145" s="481"/>
      <c r="I1145" s="482"/>
      <c r="J1145" s="483">
        <v>356.90495988357532</v>
      </c>
      <c r="K1145" s="480">
        <v>320</v>
      </c>
      <c r="L1145" s="481"/>
      <c r="M1145" s="482"/>
      <c r="N1145" s="483"/>
      <c r="O1145" s="513"/>
      <c r="P1145" s="514">
        <v>411</v>
      </c>
      <c r="Q1145" s="486">
        <v>403</v>
      </c>
      <c r="R1145" s="485">
        <v>0.29199999999999998</v>
      </c>
      <c r="S1145" s="515">
        <v>2.7</v>
      </c>
      <c r="T1145" s="516">
        <v>585</v>
      </c>
      <c r="U1145" s="490">
        <v>38</v>
      </c>
      <c r="V1145" s="373"/>
      <c r="W1145" s="391" t="s">
        <v>511</v>
      </c>
    </row>
    <row r="1146" spans="1:23">
      <c r="A1146" s="476" t="s">
        <v>1617</v>
      </c>
      <c r="B1146" s="542">
        <v>1932</v>
      </c>
      <c r="C1146" s="543">
        <v>171</v>
      </c>
      <c r="D1146" s="543">
        <v>560</v>
      </c>
      <c r="E1146" s="544">
        <v>44</v>
      </c>
      <c r="F1146" s="512"/>
      <c r="G1146" s="480"/>
      <c r="H1146" s="481"/>
      <c r="I1146" s="482"/>
      <c r="J1146" s="483">
        <v>467.30600312088416</v>
      </c>
      <c r="K1146" s="480">
        <v>235</v>
      </c>
      <c r="L1146" s="481"/>
      <c r="M1146" s="482"/>
      <c r="N1146" s="483"/>
      <c r="O1146" s="513"/>
      <c r="P1146" s="514">
        <v>309</v>
      </c>
      <c r="Q1146" s="486">
        <v>591</v>
      </c>
      <c r="R1146" s="485">
        <v>0.373</v>
      </c>
      <c r="S1146" s="515">
        <v>4.3</v>
      </c>
      <c r="T1146" s="516">
        <v>775</v>
      </c>
      <c r="U1146" s="490">
        <v>38</v>
      </c>
      <c r="V1146" s="373"/>
      <c r="W1146" s="391" t="s">
        <v>511</v>
      </c>
    </row>
    <row r="1147" spans="1:23">
      <c r="A1147" s="476" t="s">
        <v>1618</v>
      </c>
      <c r="B1147" s="542">
        <v>2400</v>
      </c>
      <c r="C1147" s="543">
        <v>171</v>
      </c>
      <c r="D1147" s="543">
        <v>672</v>
      </c>
      <c r="E1147" s="544">
        <v>42.8</v>
      </c>
      <c r="F1147" s="512"/>
      <c r="G1147" s="480"/>
      <c r="H1147" s="481"/>
      <c r="I1147" s="482"/>
      <c r="J1147" s="483">
        <v>577.08722068131567</v>
      </c>
      <c r="K1147" s="480">
        <v>185</v>
      </c>
      <c r="L1147" s="481"/>
      <c r="M1147" s="482"/>
      <c r="N1147" s="483"/>
      <c r="O1147" s="513"/>
      <c r="P1147" s="514">
        <v>247</v>
      </c>
      <c r="Q1147" s="486">
        <v>698</v>
      </c>
      <c r="R1147" s="485">
        <v>0.45500000000000002</v>
      </c>
      <c r="S1147" s="515">
        <v>4.5</v>
      </c>
      <c r="T1147" s="516">
        <v>970</v>
      </c>
      <c r="U1147" s="490">
        <v>38</v>
      </c>
      <c r="V1147" s="373"/>
      <c r="W1147" s="391" t="s">
        <v>511</v>
      </c>
    </row>
    <row r="1148" spans="1:23">
      <c r="A1148" s="476" t="s">
        <v>1619</v>
      </c>
      <c r="B1148" s="542">
        <v>127</v>
      </c>
      <c r="C1148" s="543">
        <v>40</v>
      </c>
      <c r="D1148" s="543">
        <v>54</v>
      </c>
      <c r="E1148" s="544">
        <v>13.7</v>
      </c>
      <c r="F1148" s="512"/>
      <c r="G1148" s="480"/>
      <c r="H1148" s="481"/>
      <c r="I1148" s="482"/>
      <c r="J1148" s="483"/>
      <c r="K1148" s="480"/>
      <c r="L1148" s="481">
        <v>34.759439571269944</v>
      </c>
      <c r="M1148" s="482">
        <v>1250</v>
      </c>
      <c r="N1148" s="483"/>
      <c r="O1148" s="513"/>
      <c r="P1148" s="514">
        <v>1639</v>
      </c>
      <c r="Q1148" s="486">
        <v>25.6</v>
      </c>
      <c r="R1148" s="485">
        <v>0.91600000000000004</v>
      </c>
      <c r="S1148" s="515">
        <v>7.8</v>
      </c>
      <c r="T1148" s="516">
        <v>245</v>
      </c>
      <c r="U1148" s="490">
        <v>38</v>
      </c>
      <c r="V1148" s="373"/>
      <c r="W1148" s="391" t="s">
        <v>511</v>
      </c>
    </row>
    <row r="1149" spans="1:23">
      <c r="A1149" s="476" t="s">
        <v>1620</v>
      </c>
      <c r="B1149" s="542">
        <v>127</v>
      </c>
      <c r="C1149" s="543">
        <v>40</v>
      </c>
      <c r="D1149" s="543">
        <v>54</v>
      </c>
      <c r="E1149" s="544">
        <v>13.7</v>
      </c>
      <c r="F1149" s="512"/>
      <c r="G1149" s="480"/>
      <c r="H1149" s="481"/>
      <c r="I1149" s="482"/>
      <c r="J1149" s="483"/>
      <c r="K1149" s="480"/>
      <c r="L1149" s="481"/>
      <c r="M1149" s="482"/>
      <c r="N1149" s="483">
        <v>24.858012674165401</v>
      </c>
      <c r="O1149" s="513">
        <v>1600</v>
      </c>
      <c r="P1149" s="514">
        <v>1895</v>
      </c>
      <c r="Q1149" s="486">
        <v>25.6</v>
      </c>
      <c r="R1149" s="485">
        <v>0.91600000000000004</v>
      </c>
      <c r="S1149" s="515">
        <v>7.8</v>
      </c>
      <c r="T1149" s="516">
        <v>245</v>
      </c>
      <c r="U1149" s="490">
        <v>38</v>
      </c>
      <c r="V1149" s="373"/>
      <c r="W1149" s="391" t="s">
        <v>511</v>
      </c>
    </row>
    <row r="1150" spans="1:23">
      <c r="A1150" s="476" t="s">
        <v>1621</v>
      </c>
      <c r="B1150" s="542">
        <v>255</v>
      </c>
      <c r="C1150" s="543">
        <v>50.4</v>
      </c>
      <c r="D1150" s="543">
        <v>108</v>
      </c>
      <c r="E1150" s="544">
        <v>16.399999999999999</v>
      </c>
      <c r="F1150" s="512"/>
      <c r="G1150" s="480"/>
      <c r="H1150" s="481"/>
      <c r="I1150" s="482"/>
      <c r="J1150" s="483"/>
      <c r="K1150" s="480"/>
      <c r="L1150" s="481">
        <v>88.643815200699777</v>
      </c>
      <c r="M1150" s="482">
        <v>725</v>
      </c>
      <c r="N1150" s="483"/>
      <c r="O1150" s="513"/>
      <c r="P1150" s="514">
        <v>974</v>
      </c>
      <c r="Q1150" s="486">
        <v>42</v>
      </c>
      <c r="R1150" s="485">
        <v>0.92100000000000004</v>
      </c>
      <c r="S1150" s="515">
        <v>11</v>
      </c>
      <c r="T1150" s="516">
        <v>411</v>
      </c>
      <c r="U1150" s="490">
        <v>38</v>
      </c>
      <c r="V1150" s="373"/>
      <c r="W1150" s="391" t="s">
        <v>511</v>
      </c>
    </row>
    <row r="1151" spans="1:23">
      <c r="A1151" s="476" t="s">
        <v>1622</v>
      </c>
      <c r="B1151" s="542">
        <v>255</v>
      </c>
      <c r="C1151" s="543">
        <v>50.4</v>
      </c>
      <c r="D1151" s="543">
        <v>108</v>
      </c>
      <c r="E1151" s="544">
        <v>16.399999999999999</v>
      </c>
      <c r="F1151" s="512"/>
      <c r="G1151" s="480"/>
      <c r="H1151" s="481"/>
      <c r="I1151" s="482"/>
      <c r="J1151" s="483"/>
      <c r="K1151" s="480"/>
      <c r="L1151" s="481"/>
      <c r="M1151" s="482"/>
      <c r="N1151" s="483">
        <v>84.001439455620698</v>
      </c>
      <c r="O1151" s="513">
        <v>885</v>
      </c>
      <c r="P1151" s="514">
        <v>1169</v>
      </c>
      <c r="Q1151" s="486">
        <v>42</v>
      </c>
      <c r="R1151" s="485">
        <v>0.92100000000000004</v>
      </c>
      <c r="S1151" s="515">
        <v>11</v>
      </c>
      <c r="T1151" s="516">
        <v>411</v>
      </c>
      <c r="U1151" s="490">
        <v>38</v>
      </c>
      <c r="V1151" s="373"/>
      <c r="W1151" s="391" t="s">
        <v>511</v>
      </c>
    </row>
    <row r="1152" spans="1:23">
      <c r="A1152" s="476" t="s">
        <v>1623</v>
      </c>
      <c r="B1152" s="542">
        <v>393</v>
      </c>
      <c r="C1152" s="543">
        <v>63.3</v>
      </c>
      <c r="D1152" s="543">
        <v>154</v>
      </c>
      <c r="E1152" s="544">
        <v>18.7</v>
      </c>
      <c r="F1152" s="512"/>
      <c r="G1152" s="480"/>
      <c r="H1152" s="481"/>
      <c r="I1152" s="482"/>
      <c r="J1152" s="483"/>
      <c r="K1152" s="480"/>
      <c r="L1152" s="481">
        <v>119.77083853017209</v>
      </c>
      <c r="M1152" s="482">
        <v>590</v>
      </c>
      <c r="N1152" s="483"/>
      <c r="O1152" s="513"/>
      <c r="P1152" s="514">
        <v>778</v>
      </c>
      <c r="Q1152" s="486">
        <v>52.900000000000006</v>
      </c>
      <c r="R1152" s="485">
        <v>0.86699999999999999</v>
      </c>
      <c r="S1152" s="515">
        <v>11</v>
      </c>
      <c r="T1152" s="516">
        <v>515</v>
      </c>
      <c r="U1152" s="490">
        <v>38</v>
      </c>
      <c r="V1152" s="373"/>
      <c r="W1152" s="391" t="s">
        <v>511</v>
      </c>
    </row>
    <row r="1153" spans="1:23">
      <c r="A1153" s="476" t="s">
        <v>1624</v>
      </c>
      <c r="B1153" s="542">
        <v>393</v>
      </c>
      <c r="C1153" s="543">
        <v>63.3</v>
      </c>
      <c r="D1153" s="543">
        <v>154</v>
      </c>
      <c r="E1153" s="544">
        <v>18.7</v>
      </c>
      <c r="F1153" s="512"/>
      <c r="G1153" s="480"/>
      <c r="H1153" s="481"/>
      <c r="I1153" s="482"/>
      <c r="J1153" s="483"/>
      <c r="K1153" s="480"/>
      <c r="L1153" s="481"/>
      <c r="M1153" s="482"/>
      <c r="N1153" s="483">
        <v>110.74531456811052</v>
      </c>
      <c r="O1153" s="513">
        <v>720</v>
      </c>
      <c r="P1153" s="514">
        <v>930</v>
      </c>
      <c r="Q1153" s="486">
        <v>52.900000000000006</v>
      </c>
      <c r="R1153" s="485">
        <v>0.86699999999999999</v>
      </c>
      <c r="S1153" s="515">
        <v>11</v>
      </c>
      <c r="T1153" s="516">
        <v>515</v>
      </c>
      <c r="U1153" s="490">
        <v>38</v>
      </c>
      <c r="V1153" s="373"/>
      <c r="W1153" s="391" t="s">
        <v>511</v>
      </c>
    </row>
    <row r="1154" spans="1:23">
      <c r="A1154" s="476" t="s">
        <v>1625</v>
      </c>
      <c r="B1154" s="542">
        <v>127</v>
      </c>
      <c r="C1154" s="543">
        <v>40</v>
      </c>
      <c r="D1154" s="543">
        <v>54</v>
      </c>
      <c r="E1154" s="544">
        <v>13.7</v>
      </c>
      <c r="F1154" s="512"/>
      <c r="G1154" s="480"/>
      <c r="H1154" s="481"/>
      <c r="I1154" s="482"/>
      <c r="J1154" s="483">
        <v>44.708070377632424</v>
      </c>
      <c r="K1154" s="480">
        <v>660</v>
      </c>
      <c r="L1154" s="481"/>
      <c r="M1154" s="482"/>
      <c r="N1154" s="483"/>
      <c r="O1154" s="513"/>
      <c r="P1154" s="514">
        <v>983</v>
      </c>
      <c r="Q1154" s="486">
        <v>25.6</v>
      </c>
      <c r="R1154" s="485">
        <v>0.91600000000000004</v>
      </c>
      <c r="S1154" s="515">
        <v>7.8</v>
      </c>
      <c r="T1154" s="516">
        <v>245</v>
      </c>
      <c r="U1154" s="490">
        <v>38</v>
      </c>
      <c r="V1154" s="373"/>
      <c r="W1154" s="391" t="s">
        <v>511</v>
      </c>
    </row>
    <row r="1155" spans="1:23">
      <c r="A1155" s="476" t="s">
        <v>1626</v>
      </c>
      <c r="B1155" s="542">
        <v>255</v>
      </c>
      <c r="C1155" s="543">
        <v>50.4</v>
      </c>
      <c r="D1155" s="543">
        <v>108</v>
      </c>
      <c r="E1155" s="544">
        <v>16.399999999999999</v>
      </c>
      <c r="F1155" s="512"/>
      <c r="G1155" s="480"/>
      <c r="H1155" s="481"/>
      <c r="I1155" s="482"/>
      <c r="J1155" s="483">
        <v>95.989033210228826</v>
      </c>
      <c r="K1155" s="480">
        <v>385</v>
      </c>
      <c r="L1155" s="481"/>
      <c r="M1155" s="482"/>
      <c r="N1155" s="483"/>
      <c r="O1155" s="513"/>
      <c r="P1155" s="514">
        <v>584</v>
      </c>
      <c r="Q1155" s="486">
        <v>42</v>
      </c>
      <c r="R1155" s="485">
        <v>0.92100000000000004</v>
      </c>
      <c r="S1155" s="515">
        <v>11</v>
      </c>
      <c r="T1155" s="516">
        <v>411</v>
      </c>
      <c r="U1155" s="490">
        <v>38</v>
      </c>
      <c r="V1155" s="373"/>
      <c r="W1155" s="391" t="s">
        <v>511</v>
      </c>
    </row>
    <row r="1156" spans="1:23">
      <c r="A1156" s="476" t="s">
        <v>1627</v>
      </c>
      <c r="B1156" s="542">
        <v>393</v>
      </c>
      <c r="C1156" s="543">
        <v>63.3</v>
      </c>
      <c r="D1156" s="543">
        <v>154</v>
      </c>
      <c r="E1156" s="544">
        <v>18.7</v>
      </c>
      <c r="F1156" s="512"/>
      <c r="G1156" s="480"/>
      <c r="H1156" s="481"/>
      <c r="I1156" s="482"/>
      <c r="J1156" s="483">
        <v>133.38699992463609</v>
      </c>
      <c r="K1156" s="480">
        <v>315</v>
      </c>
      <c r="L1156" s="481"/>
      <c r="M1156" s="482"/>
      <c r="N1156" s="483"/>
      <c r="O1156" s="513"/>
      <c r="P1156" s="514">
        <v>467</v>
      </c>
      <c r="Q1156" s="486">
        <v>52.900000000000006</v>
      </c>
      <c r="R1156" s="485">
        <v>0.86699999999999999</v>
      </c>
      <c r="S1156" s="515">
        <v>11</v>
      </c>
      <c r="T1156" s="516">
        <v>515</v>
      </c>
      <c r="U1156" s="490">
        <v>38</v>
      </c>
      <c r="V1156" s="373"/>
      <c r="W1156" s="391" t="s">
        <v>511</v>
      </c>
    </row>
    <row r="1157" spans="1:23">
      <c r="A1157" s="476" t="s">
        <v>1628</v>
      </c>
      <c r="B1157" s="542">
        <v>414</v>
      </c>
      <c r="C1157" s="543">
        <v>40</v>
      </c>
      <c r="D1157" s="543">
        <v>205</v>
      </c>
      <c r="E1157" s="544">
        <v>17</v>
      </c>
      <c r="F1157" s="512"/>
      <c r="G1157" s="480"/>
      <c r="H1157" s="481"/>
      <c r="I1157" s="482"/>
      <c r="J1157" s="483"/>
      <c r="K1157" s="480"/>
      <c r="L1157" s="481">
        <v>162.33804195373327</v>
      </c>
      <c r="M1157" s="482">
        <v>425</v>
      </c>
      <c r="N1157" s="483"/>
      <c r="O1157" s="513"/>
      <c r="P1157" s="514">
        <v>542</v>
      </c>
      <c r="Q1157" s="486">
        <v>146</v>
      </c>
      <c r="R1157" s="485">
        <v>0.93</v>
      </c>
      <c r="S1157" s="515">
        <v>13</v>
      </c>
      <c r="T1157" s="516">
        <v>738</v>
      </c>
      <c r="U1157" s="490">
        <v>46</v>
      </c>
      <c r="V1157" s="373"/>
      <c r="W1157" s="391" t="s">
        <v>511</v>
      </c>
    </row>
    <row r="1158" spans="1:23">
      <c r="A1158" s="476" t="s">
        <v>1629</v>
      </c>
      <c r="B1158" s="542">
        <v>414</v>
      </c>
      <c r="C1158" s="543">
        <v>40</v>
      </c>
      <c r="D1158" s="543">
        <v>205</v>
      </c>
      <c r="E1158" s="544">
        <v>17</v>
      </c>
      <c r="F1158" s="512"/>
      <c r="G1158" s="480"/>
      <c r="H1158" s="481"/>
      <c r="I1158" s="482"/>
      <c r="J1158" s="483"/>
      <c r="K1158" s="480"/>
      <c r="L1158" s="481"/>
      <c r="M1158" s="482"/>
      <c r="N1158" s="483">
        <v>151.31962281660205</v>
      </c>
      <c r="O1158" s="513">
        <v>520</v>
      </c>
      <c r="P1158" s="514">
        <v>651</v>
      </c>
      <c r="Q1158" s="486">
        <v>146</v>
      </c>
      <c r="R1158" s="485">
        <v>0.93</v>
      </c>
      <c r="S1158" s="515">
        <v>13</v>
      </c>
      <c r="T1158" s="516">
        <v>738</v>
      </c>
      <c r="U1158" s="490">
        <v>46</v>
      </c>
      <c r="V1158" s="373"/>
      <c r="W1158" s="391" t="s">
        <v>511</v>
      </c>
    </row>
    <row r="1159" spans="1:23">
      <c r="A1159" s="476" t="s">
        <v>1630</v>
      </c>
      <c r="B1159" s="542">
        <v>414</v>
      </c>
      <c r="C1159" s="543">
        <v>75.400000000000006</v>
      </c>
      <c r="D1159" s="543">
        <v>205</v>
      </c>
      <c r="E1159" s="544">
        <v>32</v>
      </c>
      <c r="F1159" s="512"/>
      <c r="G1159" s="480"/>
      <c r="H1159" s="481"/>
      <c r="I1159" s="482"/>
      <c r="J1159" s="483"/>
      <c r="K1159" s="480"/>
      <c r="L1159" s="481">
        <v>66.998273370021394</v>
      </c>
      <c r="M1159" s="482">
        <v>935</v>
      </c>
      <c r="N1159" s="483"/>
      <c r="O1159" s="513"/>
      <c r="P1159" s="514">
        <v>1006</v>
      </c>
      <c r="Q1159" s="486">
        <v>146</v>
      </c>
      <c r="R1159" s="485">
        <v>0.26100000000000001</v>
      </c>
      <c r="S1159" s="515">
        <v>3.7</v>
      </c>
      <c r="T1159" s="516">
        <v>397</v>
      </c>
      <c r="U1159" s="490">
        <v>46</v>
      </c>
      <c r="V1159" s="373"/>
      <c r="W1159" s="391" t="s">
        <v>511</v>
      </c>
    </row>
    <row r="1160" spans="1:23">
      <c r="A1160" s="476" t="s">
        <v>1631</v>
      </c>
      <c r="B1160" s="542">
        <v>414</v>
      </c>
      <c r="C1160" s="543">
        <v>75.400000000000006</v>
      </c>
      <c r="D1160" s="543">
        <v>205</v>
      </c>
      <c r="E1160" s="544">
        <v>32</v>
      </c>
      <c r="F1160" s="512"/>
      <c r="G1160" s="480"/>
      <c r="H1160" s="481"/>
      <c r="I1160" s="482"/>
      <c r="J1160" s="483"/>
      <c r="K1160" s="480"/>
      <c r="L1160" s="481"/>
      <c r="M1160" s="482"/>
      <c r="N1160" s="483">
        <v>67.048252621692072</v>
      </c>
      <c r="O1160" s="513">
        <v>940</v>
      </c>
      <c r="P1160" s="514">
        <v>1068</v>
      </c>
      <c r="Q1160" s="486">
        <v>146</v>
      </c>
      <c r="R1160" s="485">
        <v>0.26100000000000001</v>
      </c>
      <c r="S1160" s="515">
        <v>3.7</v>
      </c>
      <c r="T1160" s="516">
        <v>397</v>
      </c>
      <c r="U1160" s="490">
        <v>46</v>
      </c>
      <c r="V1160" s="373"/>
      <c r="W1160" s="391" t="s">
        <v>511</v>
      </c>
    </row>
    <row r="1161" spans="1:23">
      <c r="A1161" s="476" t="s">
        <v>1632</v>
      </c>
      <c r="B1161" s="542">
        <v>789</v>
      </c>
      <c r="C1161" s="543">
        <v>40</v>
      </c>
      <c r="D1161" s="543">
        <v>385</v>
      </c>
      <c r="E1161" s="544">
        <v>15</v>
      </c>
      <c r="F1161" s="512"/>
      <c r="G1161" s="480"/>
      <c r="H1161" s="481"/>
      <c r="I1161" s="482"/>
      <c r="J1161" s="483"/>
      <c r="K1161" s="480"/>
      <c r="L1161" s="481">
        <v>331.71240770731868</v>
      </c>
      <c r="M1161" s="482">
        <v>190</v>
      </c>
      <c r="N1161" s="483"/>
      <c r="O1161" s="513"/>
      <c r="P1161" s="514">
        <v>257</v>
      </c>
      <c r="Q1161" s="486">
        <v>247</v>
      </c>
      <c r="R1161" s="485">
        <v>1.66</v>
      </c>
      <c r="S1161" s="515">
        <v>29</v>
      </c>
      <c r="T1161" s="516">
        <v>1560</v>
      </c>
      <c r="U1161" s="490">
        <v>46</v>
      </c>
      <c r="V1161" s="373"/>
      <c r="W1161" s="391" t="s">
        <v>511</v>
      </c>
    </row>
    <row r="1162" spans="1:23">
      <c r="A1162" s="476" t="s">
        <v>1633</v>
      </c>
      <c r="B1162" s="542">
        <v>789</v>
      </c>
      <c r="C1162" s="543">
        <v>40</v>
      </c>
      <c r="D1162" s="543">
        <v>385</v>
      </c>
      <c r="E1162" s="544">
        <v>15</v>
      </c>
      <c r="F1162" s="512"/>
      <c r="G1162" s="480"/>
      <c r="H1162" s="481"/>
      <c r="I1162" s="482"/>
      <c r="J1162" s="483"/>
      <c r="K1162" s="480"/>
      <c r="L1162" s="481"/>
      <c r="M1162" s="482"/>
      <c r="N1162" s="483">
        <v>323.05067172269821</v>
      </c>
      <c r="O1162" s="513">
        <v>235</v>
      </c>
      <c r="P1162" s="514">
        <v>309</v>
      </c>
      <c r="Q1162" s="486">
        <v>247</v>
      </c>
      <c r="R1162" s="485">
        <v>1.66</v>
      </c>
      <c r="S1162" s="515">
        <v>29</v>
      </c>
      <c r="T1162" s="516">
        <v>1560</v>
      </c>
      <c r="U1162" s="490">
        <v>46</v>
      </c>
      <c r="V1162" s="373"/>
      <c r="W1162" s="391" t="s">
        <v>511</v>
      </c>
    </row>
    <row r="1163" spans="1:23">
      <c r="A1163" s="476" t="s">
        <v>1634</v>
      </c>
      <c r="B1163" s="542">
        <v>789</v>
      </c>
      <c r="C1163" s="543">
        <v>75.400000000000006</v>
      </c>
      <c r="D1163" s="543">
        <v>385</v>
      </c>
      <c r="E1163" s="544">
        <v>31.7</v>
      </c>
      <c r="F1163" s="512"/>
      <c r="G1163" s="480"/>
      <c r="H1163" s="481"/>
      <c r="I1163" s="482"/>
      <c r="J1163" s="483"/>
      <c r="K1163" s="480"/>
      <c r="L1163" s="481">
        <v>273.02307055855135</v>
      </c>
      <c r="M1163" s="482">
        <v>440</v>
      </c>
      <c r="N1163" s="483"/>
      <c r="O1163" s="513"/>
      <c r="P1163" s="514">
        <v>545</v>
      </c>
      <c r="Q1163" s="486">
        <v>247</v>
      </c>
      <c r="R1163" s="485">
        <v>0.36899999999999999</v>
      </c>
      <c r="S1163" s="515">
        <v>6.4</v>
      </c>
      <c r="T1163" s="516">
        <v>733</v>
      </c>
      <c r="U1163" s="490">
        <v>46</v>
      </c>
      <c r="V1163" s="373"/>
      <c r="W1163" s="391" t="s">
        <v>511</v>
      </c>
    </row>
    <row r="1164" spans="1:23">
      <c r="A1164" s="476" t="s">
        <v>1635</v>
      </c>
      <c r="B1164" s="542">
        <v>789</v>
      </c>
      <c r="C1164" s="543">
        <v>75.400000000000006</v>
      </c>
      <c r="D1164" s="543">
        <v>385</v>
      </c>
      <c r="E1164" s="544">
        <v>31.7</v>
      </c>
      <c r="F1164" s="512"/>
      <c r="G1164" s="480"/>
      <c r="H1164" s="481"/>
      <c r="I1164" s="482"/>
      <c r="J1164" s="483"/>
      <c r="K1164" s="480"/>
      <c r="L1164" s="481"/>
      <c r="M1164" s="482"/>
      <c r="N1164" s="483">
        <v>233.08964847367582</v>
      </c>
      <c r="O1164" s="513">
        <v>550</v>
      </c>
      <c r="P1164" s="514">
        <v>654</v>
      </c>
      <c r="Q1164" s="486">
        <v>247</v>
      </c>
      <c r="R1164" s="485">
        <v>0.36899999999999999</v>
      </c>
      <c r="S1164" s="515">
        <v>6.4</v>
      </c>
      <c r="T1164" s="516">
        <v>733</v>
      </c>
      <c r="U1164" s="490">
        <v>46</v>
      </c>
      <c r="V1164" s="373"/>
      <c r="W1164" s="391" t="s">
        <v>511</v>
      </c>
    </row>
    <row r="1165" spans="1:23">
      <c r="A1165" s="476" t="s">
        <v>1636</v>
      </c>
      <c r="B1165" s="542">
        <v>1200</v>
      </c>
      <c r="C1165" s="543">
        <v>53.1</v>
      </c>
      <c r="D1165" s="543">
        <v>538</v>
      </c>
      <c r="E1165" s="544">
        <v>18.100000000000001</v>
      </c>
      <c r="F1165" s="512"/>
      <c r="G1165" s="480"/>
      <c r="H1165" s="481"/>
      <c r="I1165" s="482"/>
      <c r="J1165" s="483"/>
      <c r="K1165" s="480"/>
      <c r="L1165" s="481">
        <v>462.41745283790686</v>
      </c>
      <c r="M1165" s="482">
        <v>165</v>
      </c>
      <c r="N1165" s="483"/>
      <c r="O1165" s="513"/>
      <c r="P1165" s="514">
        <v>221</v>
      </c>
      <c r="Q1165" s="486">
        <v>315</v>
      </c>
      <c r="R1165" s="485">
        <v>1.41</v>
      </c>
      <c r="S1165" s="515">
        <v>26</v>
      </c>
      <c r="T1165" s="516">
        <v>1812</v>
      </c>
      <c r="U1165" s="490">
        <v>46</v>
      </c>
      <c r="V1165" s="373"/>
      <c r="W1165" s="391" t="s">
        <v>511</v>
      </c>
    </row>
    <row r="1166" spans="1:23">
      <c r="A1166" s="476" t="s">
        <v>1637</v>
      </c>
      <c r="B1166" s="542">
        <v>1200</v>
      </c>
      <c r="C1166" s="543">
        <v>53.1</v>
      </c>
      <c r="D1166" s="543">
        <v>538</v>
      </c>
      <c r="E1166" s="544">
        <v>18.100000000000001</v>
      </c>
      <c r="F1166" s="512"/>
      <c r="G1166" s="480"/>
      <c r="H1166" s="481"/>
      <c r="I1166" s="482"/>
      <c r="J1166" s="483"/>
      <c r="K1166" s="480"/>
      <c r="L1166" s="481"/>
      <c r="M1166" s="482"/>
      <c r="N1166" s="483">
        <v>443.08736156783664</v>
      </c>
      <c r="O1166" s="513">
        <v>225</v>
      </c>
      <c r="P1166" s="514">
        <v>265</v>
      </c>
      <c r="Q1166" s="486">
        <v>315</v>
      </c>
      <c r="R1166" s="485">
        <v>1.41</v>
      </c>
      <c r="S1166" s="515">
        <v>26</v>
      </c>
      <c r="T1166" s="516">
        <v>1812</v>
      </c>
      <c r="U1166" s="490">
        <v>46</v>
      </c>
      <c r="V1166" s="373"/>
      <c r="W1166" s="391" t="s">
        <v>511</v>
      </c>
    </row>
    <row r="1167" spans="1:23">
      <c r="A1167" s="476" t="s">
        <v>1638</v>
      </c>
      <c r="B1167" s="542">
        <v>1200</v>
      </c>
      <c r="C1167" s="543">
        <v>106</v>
      </c>
      <c r="D1167" s="543">
        <v>545</v>
      </c>
      <c r="E1167" s="544">
        <v>35.5</v>
      </c>
      <c r="F1167" s="512"/>
      <c r="G1167" s="480"/>
      <c r="H1167" s="481"/>
      <c r="I1167" s="482"/>
      <c r="J1167" s="483"/>
      <c r="K1167" s="480"/>
      <c r="L1167" s="481">
        <v>400.51687418082179</v>
      </c>
      <c r="M1167" s="482">
        <v>345</v>
      </c>
      <c r="N1167" s="483"/>
      <c r="O1167" s="513"/>
      <c r="P1167" s="514">
        <v>426</v>
      </c>
      <c r="Q1167" s="486">
        <v>315</v>
      </c>
      <c r="R1167" s="485">
        <v>0.37</v>
      </c>
      <c r="S1167" s="515">
        <v>7</v>
      </c>
      <c r="T1167" s="516">
        <v>940</v>
      </c>
      <c r="U1167" s="490">
        <v>46</v>
      </c>
      <c r="V1167" s="373"/>
      <c r="W1167" s="391" t="s">
        <v>511</v>
      </c>
    </row>
    <row r="1168" spans="1:23">
      <c r="A1168" s="476" t="s">
        <v>1639</v>
      </c>
      <c r="B1168" s="542">
        <v>1200</v>
      </c>
      <c r="C1168" s="543">
        <v>106</v>
      </c>
      <c r="D1168" s="543">
        <v>545</v>
      </c>
      <c r="E1168" s="544">
        <v>35.5</v>
      </c>
      <c r="F1168" s="512"/>
      <c r="G1168" s="480"/>
      <c r="H1168" s="481"/>
      <c r="I1168" s="482"/>
      <c r="J1168" s="483"/>
      <c r="K1168" s="480"/>
      <c r="L1168" s="481"/>
      <c r="M1168" s="482"/>
      <c r="N1168" s="483">
        <v>359.5029302781636</v>
      </c>
      <c r="O1168" s="513">
        <v>425</v>
      </c>
      <c r="P1168" s="514">
        <v>511</v>
      </c>
      <c r="Q1168" s="486">
        <v>315</v>
      </c>
      <c r="R1168" s="485">
        <v>0.37</v>
      </c>
      <c r="S1168" s="515">
        <v>7</v>
      </c>
      <c r="T1168" s="516">
        <v>940</v>
      </c>
      <c r="U1168" s="490">
        <v>46</v>
      </c>
      <c r="V1168" s="373"/>
      <c r="W1168" s="391" t="s">
        <v>511</v>
      </c>
    </row>
    <row r="1169" spans="1:23">
      <c r="A1169" s="476" t="s">
        <v>1640</v>
      </c>
      <c r="B1169" s="542">
        <v>414</v>
      </c>
      <c r="C1169" s="543">
        <v>40</v>
      </c>
      <c r="D1169" s="543">
        <v>205</v>
      </c>
      <c r="E1169" s="544">
        <v>17</v>
      </c>
      <c r="F1169" s="512"/>
      <c r="G1169" s="480"/>
      <c r="H1169" s="481"/>
      <c r="I1169" s="482"/>
      <c r="J1169" s="483">
        <v>179.31456921686876</v>
      </c>
      <c r="K1169" s="480">
        <v>225</v>
      </c>
      <c r="L1169" s="481"/>
      <c r="M1169" s="482"/>
      <c r="N1169" s="483"/>
      <c r="O1169" s="513"/>
      <c r="P1169" s="514">
        <v>325</v>
      </c>
      <c r="Q1169" s="486">
        <v>146</v>
      </c>
      <c r="R1169" s="485">
        <v>0.93</v>
      </c>
      <c r="S1169" s="515">
        <v>13</v>
      </c>
      <c r="T1169" s="516">
        <v>738</v>
      </c>
      <c r="U1169" s="490">
        <v>46</v>
      </c>
      <c r="V1169" s="373"/>
      <c r="W1169" s="391" t="s">
        <v>511</v>
      </c>
    </row>
    <row r="1170" spans="1:23">
      <c r="A1170" s="476" t="s">
        <v>1641</v>
      </c>
      <c r="B1170" s="542">
        <v>414</v>
      </c>
      <c r="C1170" s="543">
        <v>75.400000000000006</v>
      </c>
      <c r="D1170" s="543">
        <v>205</v>
      </c>
      <c r="E1170" s="544">
        <v>32</v>
      </c>
      <c r="F1170" s="512"/>
      <c r="G1170" s="480"/>
      <c r="H1170" s="481"/>
      <c r="I1170" s="482"/>
      <c r="J1170" s="483">
        <v>156.03550620729419</v>
      </c>
      <c r="K1170" s="480">
        <v>500</v>
      </c>
      <c r="L1170" s="481"/>
      <c r="M1170" s="482"/>
      <c r="N1170" s="483"/>
      <c r="O1170" s="513"/>
      <c r="P1170" s="514">
        <v>604</v>
      </c>
      <c r="Q1170" s="486">
        <v>146</v>
      </c>
      <c r="R1170" s="485">
        <v>0.26100000000000001</v>
      </c>
      <c r="S1170" s="515">
        <v>3.7</v>
      </c>
      <c r="T1170" s="516">
        <v>397</v>
      </c>
      <c r="U1170" s="490">
        <v>46</v>
      </c>
      <c r="V1170" s="373"/>
      <c r="W1170" s="391" t="s">
        <v>511</v>
      </c>
    </row>
    <row r="1171" spans="1:23">
      <c r="A1171" s="476" t="s">
        <v>1642</v>
      </c>
      <c r="B1171" s="542">
        <v>789</v>
      </c>
      <c r="C1171" s="543">
        <v>40</v>
      </c>
      <c r="D1171" s="543">
        <v>385</v>
      </c>
      <c r="E1171" s="544">
        <v>15</v>
      </c>
      <c r="F1171" s="512"/>
      <c r="G1171" s="480"/>
      <c r="H1171" s="481"/>
      <c r="I1171" s="482"/>
      <c r="J1171" s="483">
        <v>346.63946605414804</v>
      </c>
      <c r="K1171" s="480">
        <v>100</v>
      </c>
      <c r="L1171" s="481"/>
      <c r="M1171" s="482"/>
      <c r="N1171" s="483"/>
      <c r="O1171" s="513"/>
      <c r="P1171" s="514">
        <v>154</v>
      </c>
      <c r="Q1171" s="486">
        <v>247</v>
      </c>
      <c r="R1171" s="485">
        <v>1.66</v>
      </c>
      <c r="S1171" s="515">
        <v>29</v>
      </c>
      <c r="T1171" s="516">
        <v>1560</v>
      </c>
      <c r="U1171" s="490">
        <v>46</v>
      </c>
      <c r="V1171" s="373"/>
      <c r="W1171" s="391" t="s">
        <v>511</v>
      </c>
    </row>
    <row r="1172" spans="1:23">
      <c r="A1172" s="476" t="s">
        <v>1643</v>
      </c>
      <c r="B1172" s="542">
        <v>789</v>
      </c>
      <c r="C1172" s="543">
        <v>75.400000000000006</v>
      </c>
      <c r="D1172" s="543">
        <v>385</v>
      </c>
      <c r="E1172" s="544">
        <v>31.7</v>
      </c>
      <c r="F1172" s="512"/>
      <c r="G1172" s="480"/>
      <c r="H1172" s="481"/>
      <c r="I1172" s="482"/>
      <c r="J1172" s="483">
        <v>323.45702476889028</v>
      </c>
      <c r="K1172" s="480">
        <v>235</v>
      </c>
      <c r="L1172" s="481"/>
      <c r="M1172" s="482"/>
      <c r="N1172" s="483"/>
      <c r="O1172" s="513"/>
      <c r="P1172" s="514">
        <v>327</v>
      </c>
      <c r="Q1172" s="486">
        <v>247</v>
      </c>
      <c r="R1172" s="485">
        <v>0.36899999999999999</v>
      </c>
      <c r="S1172" s="515">
        <v>6.4</v>
      </c>
      <c r="T1172" s="516">
        <v>733</v>
      </c>
      <c r="U1172" s="490">
        <v>46</v>
      </c>
      <c r="V1172" s="373"/>
      <c r="W1172" s="391" t="s">
        <v>511</v>
      </c>
    </row>
    <row r="1173" spans="1:23">
      <c r="A1173" s="476" t="s">
        <v>1644</v>
      </c>
      <c r="B1173" s="542">
        <v>1200</v>
      </c>
      <c r="C1173" s="543">
        <v>53.1</v>
      </c>
      <c r="D1173" s="543">
        <v>538</v>
      </c>
      <c r="E1173" s="544">
        <v>18.100000000000001</v>
      </c>
      <c r="F1173" s="512"/>
      <c r="G1173" s="480"/>
      <c r="H1173" s="481"/>
      <c r="I1173" s="482"/>
      <c r="J1173" s="483">
        <v>482.76999404541584</v>
      </c>
      <c r="K1173" s="480">
        <v>90</v>
      </c>
      <c r="L1173" s="481"/>
      <c r="M1173" s="482"/>
      <c r="N1173" s="483"/>
      <c r="O1173" s="513"/>
      <c r="P1173" s="514">
        <v>132</v>
      </c>
      <c r="Q1173" s="486">
        <v>315</v>
      </c>
      <c r="R1173" s="485">
        <v>1.41</v>
      </c>
      <c r="S1173" s="515">
        <v>26</v>
      </c>
      <c r="T1173" s="516">
        <v>1812</v>
      </c>
      <c r="U1173" s="490">
        <v>46</v>
      </c>
      <c r="V1173" s="373"/>
      <c r="W1173" s="391" t="s">
        <v>511</v>
      </c>
    </row>
    <row r="1174" spans="1:23">
      <c r="A1174" s="476" t="s">
        <v>1645</v>
      </c>
      <c r="B1174" s="542">
        <v>1200</v>
      </c>
      <c r="C1174" s="543">
        <v>106</v>
      </c>
      <c r="D1174" s="543">
        <v>545</v>
      </c>
      <c r="E1174" s="544">
        <v>35.5</v>
      </c>
      <c r="F1174" s="512"/>
      <c r="G1174" s="480"/>
      <c r="H1174" s="481"/>
      <c r="I1174" s="482"/>
      <c r="J1174" s="483">
        <v>463.67140087438844</v>
      </c>
      <c r="K1174" s="480">
        <v>180</v>
      </c>
      <c r="L1174" s="481"/>
      <c r="M1174" s="482"/>
      <c r="N1174" s="483"/>
      <c r="O1174" s="513"/>
      <c r="P1174" s="514">
        <v>255</v>
      </c>
      <c r="Q1174" s="486">
        <v>315</v>
      </c>
      <c r="R1174" s="485">
        <v>0.37</v>
      </c>
      <c r="S1174" s="515">
        <v>7</v>
      </c>
      <c r="T1174" s="516">
        <v>940</v>
      </c>
      <c r="U1174" s="490">
        <v>46</v>
      </c>
      <c r="V1174" s="373"/>
      <c r="W1174" s="391" t="s">
        <v>511</v>
      </c>
    </row>
    <row r="1175" spans="1:23">
      <c r="A1175" s="476" t="s">
        <v>1646</v>
      </c>
      <c r="B1175" s="542">
        <v>1966</v>
      </c>
      <c r="C1175" s="543">
        <v>140</v>
      </c>
      <c r="D1175" s="543">
        <v>776</v>
      </c>
      <c r="E1175" s="544">
        <v>43.2</v>
      </c>
      <c r="F1175" s="512"/>
      <c r="G1175" s="480"/>
      <c r="H1175" s="481"/>
      <c r="I1175" s="482"/>
      <c r="J1175" s="483"/>
      <c r="K1175" s="480"/>
      <c r="L1175" s="481">
        <v>534.60145384567647</v>
      </c>
      <c r="M1175" s="482">
        <v>300</v>
      </c>
      <c r="N1175" s="483"/>
      <c r="O1175" s="513"/>
      <c r="P1175" s="514">
        <v>365</v>
      </c>
      <c r="Q1175" s="486">
        <v>1230</v>
      </c>
      <c r="R1175" s="485">
        <v>0.37</v>
      </c>
      <c r="S1175" s="515">
        <v>4.2</v>
      </c>
      <c r="T1175" s="516">
        <v>1100</v>
      </c>
      <c r="U1175" s="490">
        <v>56</v>
      </c>
      <c r="V1175" s="373"/>
      <c r="W1175" s="391" t="s">
        <v>511</v>
      </c>
    </row>
    <row r="1176" spans="1:23">
      <c r="A1176" s="476" t="s">
        <v>1647</v>
      </c>
      <c r="B1176" s="542">
        <v>1966</v>
      </c>
      <c r="C1176" s="543">
        <v>140</v>
      </c>
      <c r="D1176" s="543">
        <v>776</v>
      </c>
      <c r="E1176" s="544">
        <v>43.2</v>
      </c>
      <c r="F1176" s="512"/>
      <c r="G1176" s="480"/>
      <c r="H1176" s="481"/>
      <c r="I1176" s="482"/>
      <c r="J1176" s="483"/>
      <c r="K1176" s="480"/>
      <c r="L1176" s="481"/>
      <c r="M1176" s="482"/>
      <c r="N1176" s="483">
        <v>440.54088247836631</v>
      </c>
      <c r="O1176" s="513">
        <v>375</v>
      </c>
      <c r="P1176" s="514">
        <v>438</v>
      </c>
      <c r="Q1176" s="486">
        <v>1230</v>
      </c>
      <c r="R1176" s="485">
        <v>0.37</v>
      </c>
      <c r="S1176" s="515">
        <v>4.2</v>
      </c>
      <c r="T1176" s="516">
        <v>1100</v>
      </c>
      <c r="U1176" s="490">
        <v>56</v>
      </c>
      <c r="V1176" s="373"/>
      <c r="W1176" s="391" t="s">
        <v>511</v>
      </c>
    </row>
    <row r="1177" spans="1:23">
      <c r="A1177" s="476" t="s">
        <v>1648</v>
      </c>
      <c r="B1177" s="542">
        <v>2915</v>
      </c>
      <c r="C1177" s="543">
        <v>140</v>
      </c>
      <c r="D1177" s="543">
        <v>1090</v>
      </c>
      <c r="E1177" s="544">
        <v>40.6</v>
      </c>
      <c r="F1177" s="512"/>
      <c r="G1177" s="480"/>
      <c r="H1177" s="481"/>
      <c r="I1177" s="482"/>
      <c r="J1177" s="483"/>
      <c r="K1177" s="480"/>
      <c r="L1177" s="481">
        <v>843.68035333013711</v>
      </c>
      <c r="M1177" s="482">
        <v>200</v>
      </c>
      <c r="N1177" s="483"/>
      <c r="O1177" s="513"/>
      <c r="P1177" s="514">
        <v>243</v>
      </c>
      <c r="Q1177" s="486">
        <v>1720</v>
      </c>
      <c r="R1177" s="485">
        <v>0.50900000000000001</v>
      </c>
      <c r="S1177" s="515">
        <v>6.3</v>
      </c>
      <c r="T1177" s="516">
        <v>1645</v>
      </c>
      <c r="U1177" s="490">
        <v>56</v>
      </c>
      <c r="V1177" s="373"/>
      <c r="W1177" s="391" t="s">
        <v>511</v>
      </c>
    </row>
    <row r="1178" spans="1:23">
      <c r="A1178" s="476" t="s">
        <v>1649</v>
      </c>
      <c r="B1178" s="542">
        <v>2915</v>
      </c>
      <c r="C1178" s="543">
        <v>140</v>
      </c>
      <c r="D1178" s="543">
        <v>1090</v>
      </c>
      <c r="E1178" s="544">
        <v>40.6</v>
      </c>
      <c r="F1178" s="512"/>
      <c r="G1178" s="480"/>
      <c r="H1178" s="481"/>
      <c r="I1178" s="482"/>
      <c r="J1178" s="483"/>
      <c r="K1178" s="480"/>
      <c r="L1178" s="481"/>
      <c r="M1178" s="482"/>
      <c r="N1178" s="483">
        <v>781.87301838940914</v>
      </c>
      <c r="O1178" s="513">
        <v>245</v>
      </c>
      <c r="P1178" s="514">
        <v>291</v>
      </c>
      <c r="Q1178" s="486">
        <v>1720</v>
      </c>
      <c r="R1178" s="485">
        <v>0.50900000000000001</v>
      </c>
      <c r="S1178" s="515">
        <v>6.3</v>
      </c>
      <c r="T1178" s="516">
        <v>1645</v>
      </c>
      <c r="U1178" s="490">
        <v>56</v>
      </c>
      <c r="V1178" s="373"/>
      <c r="W1178" s="391" t="s">
        <v>511</v>
      </c>
    </row>
    <row r="1179" spans="1:23">
      <c r="A1179" s="476" t="s">
        <v>1650</v>
      </c>
      <c r="B1179" s="542">
        <v>3930</v>
      </c>
      <c r="C1179" s="543">
        <v>140</v>
      </c>
      <c r="D1179" s="543">
        <v>1375</v>
      </c>
      <c r="E1179" s="544">
        <v>38.6</v>
      </c>
      <c r="F1179" s="512"/>
      <c r="G1179" s="480"/>
      <c r="H1179" s="481"/>
      <c r="I1179" s="482"/>
      <c r="J1179" s="483"/>
      <c r="K1179" s="480"/>
      <c r="L1179" s="481">
        <v>1115.3578411880026</v>
      </c>
      <c r="M1179" s="482">
        <v>150</v>
      </c>
      <c r="N1179" s="483"/>
      <c r="O1179" s="513"/>
      <c r="P1179" s="514">
        <v>183</v>
      </c>
      <c r="Q1179" s="486">
        <v>1830</v>
      </c>
      <c r="R1179" s="485">
        <v>0.64</v>
      </c>
      <c r="S1179" s="515">
        <v>8.4</v>
      </c>
      <c r="T1179" s="516">
        <v>2190</v>
      </c>
      <c r="U1179" s="490">
        <v>56</v>
      </c>
      <c r="V1179" s="373"/>
      <c r="W1179" s="391" t="s">
        <v>511</v>
      </c>
    </row>
    <row r="1180" spans="1:23">
      <c r="A1180" s="476" t="s">
        <v>1651</v>
      </c>
      <c r="B1180" s="542">
        <v>3930</v>
      </c>
      <c r="C1180" s="543">
        <v>140</v>
      </c>
      <c r="D1180" s="543">
        <v>1375</v>
      </c>
      <c r="E1180" s="544">
        <v>38.6</v>
      </c>
      <c r="F1180" s="512"/>
      <c r="G1180" s="480"/>
      <c r="H1180" s="481"/>
      <c r="I1180" s="482"/>
      <c r="J1180" s="483"/>
      <c r="K1180" s="480"/>
      <c r="L1180" s="481"/>
      <c r="M1180" s="482"/>
      <c r="N1180" s="483">
        <v>1063.9507945693204</v>
      </c>
      <c r="O1180" s="513">
        <v>180</v>
      </c>
      <c r="P1180" s="514">
        <v>220</v>
      </c>
      <c r="Q1180" s="486">
        <v>1830</v>
      </c>
      <c r="R1180" s="485">
        <v>0.64</v>
      </c>
      <c r="S1180" s="515">
        <v>8.4</v>
      </c>
      <c r="T1180" s="516">
        <v>2190</v>
      </c>
      <c r="U1180" s="490">
        <v>56</v>
      </c>
      <c r="V1180" s="373"/>
      <c r="W1180" s="391" t="s">
        <v>511</v>
      </c>
    </row>
    <row r="1181" spans="1:23">
      <c r="A1181" s="476" t="s">
        <v>1652</v>
      </c>
      <c r="B1181" s="542">
        <v>1966</v>
      </c>
      <c r="C1181" s="543">
        <v>140</v>
      </c>
      <c r="D1181" s="543">
        <v>776</v>
      </c>
      <c r="E1181" s="544">
        <v>43.2</v>
      </c>
      <c r="F1181" s="512"/>
      <c r="G1181" s="480"/>
      <c r="H1181" s="481"/>
      <c r="I1181" s="482"/>
      <c r="J1181" s="483">
        <v>580.77085597351629</v>
      </c>
      <c r="K1181" s="480">
        <v>165</v>
      </c>
      <c r="L1181" s="481"/>
      <c r="M1181" s="482"/>
      <c r="N1181" s="483"/>
      <c r="O1181" s="513"/>
      <c r="P1181" s="514">
        <v>219</v>
      </c>
      <c r="Q1181" s="486">
        <v>1230</v>
      </c>
      <c r="R1181" s="485">
        <v>0.37</v>
      </c>
      <c r="S1181" s="515">
        <v>4.2</v>
      </c>
      <c r="T1181" s="516">
        <v>1100</v>
      </c>
      <c r="U1181" s="490">
        <v>56</v>
      </c>
      <c r="V1181" s="373"/>
      <c r="W1181" s="391" t="s">
        <v>511</v>
      </c>
    </row>
    <row r="1182" spans="1:23">
      <c r="A1182" s="476" t="s">
        <v>1653</v>
      </c>
      <c r="B1182" s="542">
        <v>2915</v>
      </c>
      <c r="C1182" s="543">
        <v>140</v>
      </c>
      <c r="D1182" s="543">
        <v>1090</v>
      </c>
      <c r="E1182" s="544">
        <v>40.6</v>
      </c>
      <c r="F1182" s="512"/>
      <c r="G1182" s="480"/>
      <c r="H1182" s="481"/>
      <c r="I1182" s="482"/>
      <c r="J1182" s="483">
        <v>945.38036196585824</v>
      </c>
      <c r="K1182" s="480">
        <v>110</v>
      </c>
      <c r="L1182" s="481"/>
      <c r="M1182" s="482"/>
      <c r="N1182" s="483"/>
      <c r="O1182" s="513"/>
      <c r="P1182" s="514">
        <v>146</v>
      </c>
      <c r="Q1182" s="486">
        <v>1720</v>
      </c>
      <c r="R1182" s="485">
        <v>0.50900000000000001</v>
      </c>
      <c r="S1182" s="515">
        <v>6.3</v>
      </c>
      <c r="T1182" s="516">
        <v>1645</v>
      </c>
      <c r="U1182" s="490">
        <v>56</v>
      </c>
      <c r="V1182" s="373"/>
      <c r="W1182" s="391" t="s">
        <v>511</v>
      </c>
    </row>
    <row r="1183" spans="1:23">
      <c r="A1183" s="476" t="s">
        <v>1654</v>
      </c>
      <c r="B1183" s="542">
        <v>3930</v>
      </c>
      <c r="C1183" s="543">
        <v>140</v>
      </c>
      <c r="D1183" s="543">
        <v>1375</v>
      </c>
      <c r="E1183" s="544">
        <v>38.6</v>
      </c>
      <c r="F1183" s="512"/>
      <c r="G1183" s="480"/>
      <c r="H1183" s="481"/>
      <c r="I1183" s="482"/>
      <c r="J1183" s="483">
        <v>1209.1796801406749</v>
      </c>
      <c r="K1183" s="480">
        <v>80</v>
      </c>
      <c r="L1183" s="481"/>
      <c r="M1183" s="482"/>
      <c r="N1183" s="483"/>
      <c r="O1183" s="513"/>
      <c r="P1183" s="514">
        <v>110</v>
      </c>
      <c r="Q1183" s="486">
        <v>1830</v>
      </c>
      <c r="R1183" s="485">
        <v>0.64</v>
      </c>
      <c r="S1183" s="515">
        <v>8.4</v>
      </c>
      <c r="T1183" s="516">
        <v>2190</v>
      </c>
      <c r="U1183" s="490">
        <v>56</v>
      </c>
      <c r="V1183" s="373"/>
      <c r="W1183" s="391" t="s">
        <v>511</v>
      </c>
    </row>
    <row r="1184" spans="1:23">
      <c r="A1184" s="476" t="s">
        <v>1655</v>
      </c>
      <c r="B1184" s="542">
        <v>6494</v>
      </c>
      <c r="C1184" s="543">
        <v>147</v>
      </c>
      <c r="D1184" s="543">
        <v>1932</v>
      </c>
      <c r="E1184" s="544">
        <v>33.1</v>
      </c>
      <c r="F1184" s="512"/>
      <c r="G1184" s="480"/>
      <c r="H1184" s="481"/>
      <c r="I1184" s="482"/>
      <c r="J1184" s="483"/>
      <c r="K1184" s="480"/>
      <c r="L1184" s="481">
        <v>1710.4475354640751</v>
      </c>
      <c r="M1184" s="482">
        <v>85</v>
      </c>
      <c r="N1184" s="483"/>
      <c r="O1184" s="513"/>
      <c r="P1184" s="514">
        <v>111</v>
      </c>
      <c r="Q1184" s="486">
        <v>5450</v>
      </c>
      <c r="R1184" s="485">
        <v>1.06</v>
      </c>
      <c r="S1184" s="515">
        <v>16</v>
      </c>
      <c r="T1184" s="516">
        <v>3584</v>
      </c>
      <c r="U1184" s="490">
        <v>58</v>
      </c>
      <c r="V1184" s="373"/>
      <c r="W1184" s="391" t="s">
        <v>511</v>
      </c>
    </row>
    <row r="1185" spans="1:23">
      <c r="A1185" s="476" t="s">
        <v>1656</v>
      </c>
      <c r="B1185" s="542">
        <v>6494</v>
      </c>
      <c r="C1185" s="543">
        <v>147</v>
      </c>
      <c r="D1185" s="543">
        <v>1932</v>
      </c>
      <c r="E1185" s="544">
        <v>33.1</v>
      </c>
      <c r="F1185" s="512"/>
      <c r="G1185" s="480"/>
      <c r="H1185" s="481"/>
      <c r="I1185" s="482"/>
      <c r="J1185" s="483"/>
      <c r="K1185" s="480"/>
      <c r="L1185" s="481"/>
      <c r="M1185" s="482"/>
      <c r="N1185" s="483">
        <v>1680.6761990504149</v>
      </c>
      <c r="O1185" s="513">
        <v>105</v>
      </c>
      <c r="P1185" s="514">
        <v>134</v>
      </c>
      <c r="Q1185" s="486">
        <v>5450</v>
      </c>
      <c r="R1185" s="485">
        <v>1.06</v>
      </c>
      <c r="S1185" s="515">
        <v>16</v>
      </c>
      <c r="T1185" s="516">
        <v>3584</v>
      </c>
      <c r="U1185" s="490">
        <v>58</v>
      </c>
      <c r="V1185" s="373"/>
      <c r="W1185" s="391" t="s">
        <v>511</v>
      </c>
    </row>
    <row r="1186" spans="1:23">
      <c r="A1186" s="476" t="s">
        <v>1657</v>
      </c>
      <c r="B1186" s="542">
        <v>9741</v>
      </c>
      <c r="C1186" s="543">
        <v>147</v>
      </c>
      <c r="D1186" s="543">
        <v>2706</v>
      </c>
      <c r="E1186" s="544">
        <v>31</v>
      </c>
      <c r="F1186" s="512"/>
      <c r="G1186" s="480"/>
      <c r="H1186" s="481"/>
      <c r="I1186" s="482"/>
      <c r="J1186" s="483"/>
      <c r="K1186" s="480"/>
      <c r="L1186" s="481">
        <v>2428.9938042061262</v>
      </c>
      <c r="M1186" s="482">
        <v>55</v>
      </c>
      <c r="N1186" s="483"/>
      <c r="O1186" s="513"/>
      <c r="P1186" s="514">
        <v>74</v>
      </c>
      <c r="Q1186" s="486">
        <v>7860</v>
      </c>
      <c r="R1186" s="485">
        <v>1.48</v>
      </c>
      <c r="S1186" s="515">
        <v>24</v>
      </c>
      <c r="T1186" s="516">
        <v>5380</v>
      </c>
      <c r="U1186" s="490">
        <v>58</v>
      </c>
      <c r="V1186" s="373"/>
      <c r="W1186" s="391" t="s">
        <v>511</v>
      </c>
    </row>
    <row r="1187" spans="1:23">
      <c r="A1187" s="476" t="s">
        <v>1658</v>
      </c>
      <c r="B1187" s="542">
        <v>9741</v>
      </c>
      <c r="C1187" s="543">
        <v>147</v>
      </c>
      <c r="D1187" s="543">
        <v>2706</v>
      </c>
      <c r="E1187" s="544">
        <v>31</v>
      </c>
      <c r="F1187" s="512"/>
      <c r="G1187" s="480"/>
      <c r="H1187" s="481"/>
      <c r="I1187" s="482"/>
      <c r="J1187" s="483"/>
      <c r="K1187" s="480"/>
      <c r="L1187" s="481"/>
      <c r="M1187" s="482"/>
      <c r="N1187" s="483">
        <v>2406.2823087173174</v>
      </c>
      <c r="O1187" s="513">
        <v>68</v>
      </c>
      <c r="P1187" s="514">
        <v>89</v>
      </c>
      <c r="Q1187" s="486">
        <v>7860</v>
      </c>
      <c r="R1187" s="485">
        <v>1.48</v>
      </c>
      <c r="S1187" s="515">
        <v>24</v>
      </c>
      <c r="T1187" s="516">
        <v>5380</v>
      </c>
      <c r="U1187" s="490">
        <v>58</v>
      </c>
      <c r="V1187" s="373"/>
      <c r="W1187" s="391" t="s">
        <v>511</v>
      </c>
    </row>
    <row r="1188" spans="1:23">
      <c r="A1188" s="476" t="s">
        <v>1659</v>
      </c>
      <c r="B1188" s="542">
        <v>12812</v>
      </c>
      <c r="C1188" s="543">
        <v>147</v>
      </c>
      <c r="D1188" s="543">
        <v>3444</v>
      </c>
      <c r="E1188" s="544">
        <v>29.5</v>
      </c>
      <c r="F1188" s="512"/>
      <c r="G1188" s="480"/>
      <c r="H1188" s="481"/>
      <c r="I1188" s="482"/>
      <c r="J1188" s="483"/>
      <c r="K1188" s="480"/>
      <c r="L1188" s="481">
        <v>3366.1270463935866</v>
      </c>
      <c r="M1188" s="482">
        <v>40</v>
      </c>
      <c r="N1188" s="483"/>
      <c r="O1188" s="513"/>
      <c r="P1188" s="514">
        <v>55</v>
      </c>
      <c r="Q1188" s="486">
        <v>10200</v>
      </c>
      <c r="R1188" s="485">
        <v>1.9</v>
      </c>
      <c r="S1188" s="515">
        <v>32</v>
      </c>
      <c r="T1188" s="516">
        <v>7180</v>
      </c>
      <c r="U1188" s="490">
        <v>58</v>
      </c>
      <c r="V1188" s="373"/>
      <c r="W1188" s="391" t="s">
        <v>511</v>
      </c>
    </row>
    <row r="1189" spans="1:23">
      <c r="A1189" s="476" t="s">
        <v>1660</v>
      </c>
      <c r="B1189" s="542">
        <v>12812</v>
      </c>
      <c r="C1189" s="543">
        <v>147</v>
      </c>
      <c r="D1189" s="543">
        <v>3444</v>
      </c>
      <c r="E1189" s="544">
        <v>29.5</v>
      </c>
      <c r="F1189" s="512"/>
      <c r="G1189" s="480"/>
      <c r="H1189" s="481"/>
      <c r="I1189" s="482"/>
      <c r="J1189" s="483"/>
      <c r="K1189" s="480"/>
      <c r="L1189" s="481"/>
      <c r="M1189" s="482"/>
      <c r="N1189" s="483">
        <v>3288.7777440509253</v>
      </c>
      <c r="O1189" s="513">
        <v>50</v>
      </c>
      <c r="P1189" s="514">
        <v>67</v>
      </c>
      <c r="Q1189" s="486">
        <v>10200</v>
      </c>
      <c r="R1189" s="485">
        <v>1.9</v>
      </c>
      <c r="S1189" s="515">
        <v>32</v>
      </c>
      <c r="T1189" s="516">
        <v>7180</v>
      </c>
      <c r="U1189" s="490">
        <v>58</v>
      </c>
      <c r="V1189" s="373"/>
      <c r="W1189" s="391" t="s">
        <v>511</v>
      </c>
    </row>
    <row r="1190" spans="1:23">
      <c r="A1190" s="476" t="s">
        <v>1661</v>
      </c>
      <c r="B1190" s="542">
        <v>6494</v>
      </c>
      <c r="C1190" s="543">
        <v>147</v>
      </c>
      <c r="D1190" s="543">
        <v>1932</v>
      </c>
      <c r="E1190" s="544">
        <v>33.1</v>
      </c>
      <c r="F1190" s="512"/>
      <c r="G1190" s="480"/>
      <c r="H1190" s="481"/>
      <c r="I1190" s="482"/>
      <c r="J1190" s="483">
        <v>1761.3147035503084</v>
      </c>
      <c r="K1190" s="480">
        <v>45</v>
      </c>
      <c r="L1190" s="481"/>
      <c r="M1190" s="482"/>
      <c r="N1190" s="483"/>
      <c r="O1190" s="513"/>
      <c r="P1190" s="514">
        <v>67</v>
      </c>
      <c r="Q1190" s="486">
        <v>5450</v>
      </c>
      <c r="R1190" s="485">
        <v>1.06</v>
      </c>
      <c r="S1190" s="515">
        <v>16</v>
      </c>
      <c r="T1190" s="516">
        <v>3584</v>
      </c>
      <c r="U1190" s="490">
        <v>58</v>
      </c>
      <c r="V1190" s="373"/>
      <c r="W1190" s="391" t="s">
        <v>511</v>
      </c>
    </row>
    <row r="1191" spans="1:23">
      <c r="A1191" s="476" t="s">
        <v>1662</v>
      </c>
      <c r="B1191" s="542">
        <v>9741</v>
      </c>
      <c r="C1191" s="543">
        <v>147</v>
      </c>
      <c r="D1191" s="543">
        <v>2706</v>
      </c>
      <c r="E1191" s="544">
        <v>31</v>
      </c>
      <c r="F1191" s="512"/>
      <c r="G1191" s="480"/>
      <c r="H1191" s="481"/>
      <c r="I1191" s="482"/>
      <c r="J1191" s="483">
        <v>2482.8171122335671</v>
      </c>
      <c r="K1191" s="480">
        <v>28</v>
      </c>
      <c r="L1191" s="481"/>
      <c r="M1191" s="482"/>
      <c r="N1191" s="483"/>
      <c r="O1191" s="513"/>
      <c r="P1191" s="514">
        <v>44</v>
      </c>
      <c r="Q1191" s="486">
        <v>7860</v>
      </c>
      <c r="R1191" s="485">
        <v>1.48</v>
      </c>
      <c r="S1191" s="515">
        <v>24</v>
      </c>
      <c r="T1191" s="516">
        <v>5380</v>
      </c>
      <c r="U1191" s="490">
        <v>58</v>
      </c>
      <c r="V1191" s="373"/>
      <c r="W1191" s="391" t="s">
        <v>511</v>
      </c>
    </row>
    <row r="1192" spans="1:23" ht="13.5" thickBot="1">
      <c r="A1192" s="408" t="s">
        <v>1663</v>
      </c>
      <c r="B1192" s="545">
        <v>12812</v>
      </c>
      <c r="C1192" s="510">
        <v>147</v>
      </c>
      <c r="D1192" s="510">
        <v>3444</v>
      </c>
      <c r="E1192" s="511">
        <v>29.5</v>
      </c>
      <c r="F1192" s="517"/>
      <c r="G1192" s="518"/>
      <c r="H1192" s="519"/>
      <c r="I1192" s="520"/>
      <c r="J1192" s="521">
        <v>3317.1240770731874</v>
      </c>
      <c r="K1192" s="518">
        <v>19</v>
      </c>
      <c r="L1192" s="519"/>
      <c r="M1192" s="520"/>
      <c r="N1192" s="521"/>
      <c r="O1192" s="522"/>
      <c r="P1192" s="523">
        <v>33</v>
      </c>
      <c r="Q1192" s="419">
        <v>10200</v>
      </c>
      <c r="R1192" s="418">
        <v>1.9</v>
      </c>
      <c r="S1192" s="524">
        <v>32</v>
      </c>
      <c r="T1192" s="525">
        <v>7180</v>
      </c>
      <c r="U1192" s="423">
        <v>58</v>
      </c>
      <c r="V1192" s="373"/>
      <c r="W1192" s="391" t="s">
        <v>511</v>
      </c>
    </row>
    <row r="1193" spans="1:23">
      <c r="A1193" s="568" t="s">
        <v>1664</v>
      </c>
      <c r="B1193" s="553">
        <v>1.57</v>
      </c>
      <c r="C1193" s="554">
        <v>7.9</v>
      </c>
      <c r="D1193" s="554">
        <v>0.317</v>
      </c>
      <c r="E1193" s="555">
        <v>1.33</v>
      </c>
      <c r="F1193" s="556"/>
      <c r="G1193" s="557"/>
      <c r="H1193" s="558"/>
      <c r="I1193" s="559"/>
      <c r="J1193" s="560">
        <v>0.255</v>
      </c>
      <c r="K1193" s="557">
        <v>8000</v>
      </c>
      <c r="L1193" s="558">
        <v>0.255</v>
      </c>
      <c r="M1193" s="559">
        <v>8000</v>
      </c>
      <c r="N1193" s="560">
        <v>0.255</v>
      </c>
      <c r="O1193" s="561">
        <v>8000</v>
      </c>
      <c r="P1193" s="562">
        <v>8000</v>
      </c>
      <c r="Q1193" s="563">
        <v>0.107</v>
      </c>
      <c r="R1193" s="564">
        <v>13</v>
      </c>
      <c r="S1193" s="565">
        <v>19</v>
      </c>
      <c r="T1193" s="566">
        <v>19.5</v>
      </c>
      <c r="U1193" s="567">
        <v>6</v>
      </c>
      <c r="V1193" s="373"/>
      <c r="W1193" s="391" t="s">
        <v>537</v>
      </c>
    </row>
    <row r="1194" spans="1:23">
      <c r="A1194" s="568" t="s">
        <v>1665</v>
      </c>
      <c r="B1194" s="542">
        <v>3.03</v>
      </c>
      <c r="C1194" s="543">
        <v>7</v>
      </c>
      <c r="D1194" s="543">
        <v>0.63300000000000001</v>
      </c>
      <c r="E1194" s="544">
        <v>1.18</v>
      </c>
      <c r="F1194" s="512"/>
      <c r="G1194" s="480"/>
      <c r="H1194" s="481"/>
      <c r="I1194" s="482"/>
      <c r="J1194" s="483">
        <v>0.58299999999999996</v>
      </c>
      <c r="K1194" s="480">
        <v>3500</v>
      </c>
      <c r="L1194" s="481">
        <v>0.4</v>
      </c>
      <c r="M1194" s="482">
        <v>8000</v>
      </c>
      <c r="N1194" s="483">
        <v>0.4</v>
      </c>
      <c r="O1194" s="513">
        <v>8000</v>
      </c>
      <c r="P1194" s="514">
        <v>8000</v>
      </c>
      <c r="Q1194" s="486">
        <v>0.161</v>
      </c>
      <c r="R1194" s="485">
        <v>20</v>
      </c>
      <c r="S1194" s="515">
        <v>35.5</v>
      </c>
      <c r="T1194" s="516">
        <v>39</v>
      </c>
      <c r="U1194" s="490">
        <v>6</v>
      </c>
      <c r="V1194" s="373"/>
      <c r="W1194" s="391" t="s">
        <v>537</v>
      </c>
    </row>
    <row r="1195" spans="1:23">
      <c r="A1195" s="568" t="s">
        <v>1666</v>
      </c>
      <c r="B1195" s="542">
        <v>3.07</v>
      </c>
      <c r="C1195" s="543">
        <v>13.7</v>
      </c>
      <c r="D1195" s="543">
        <v>0.65400000000000003</v>
      </c>
      <c r="E1195" s="544">
        <v>2.31</v>
      </c>
      <c r="F1195" s="512"/>
      <c r="G1195" s="480"/>
      <c r="H1195" s="481"/>
      <c r="I1195" s="482"/>
      <c r="J1195" s="483">
        <v>0.41</v>
      </c>
      <c r="K1195" s="480">
        <v>8000</v>
      </c>
      <c r="L1195" s="481">
        <v>0.41</v>
      </c>
      <c r="M1195" s="482">
        <v>8000</v>
      </c>
      <c r="N1195" s="483">
        <v>0.41</v>
      </c>
      <c r="O1195" s="513">
        <v>8000</v>
      </c>
      <c r="P1195" s="514">
        <v>8000</v>
      </c>
      <c r="Q1195" s="486">
        <v>0.161</v>
      </c>
      <c r="R1195" s="485">
        <v>5.24</v>
      </c>
      <c r="S1195" s="515">
        <v>9.6999999999999993</v>
      </c>
      <c r="T1195" s="516">
        <v>20.399999999999999</v>
      </c>
      <c r="U1195" s="490">
        <v>6</v>
      </c>
      <c r="V1195" s="373"/>
      <c r="W1195" s="391" t="s">
        <v>537</v>
      </c>
    </row>
    <row r="1196" spans="1:23">
      <c r="A1196" s="568" t="s">
        <v>1667</v>
      </c>
      <c r="B1196" s="542">
        <v>4.3499999999999996</v>
      </c>
      <c r="C1196" s="543">
        <v>11</v>
      </c>
      <c r="D1196" s="543">
        <v>0.89700000000000002</v>
      </c>
      <c r="E1196" s="544">
        <v>1.89</v>
      </c>
      <c r="F1196" s="512"/>
      <c r="G1196" s="480"/>
      <c r="H1196" s="481"/>
      <c r="I1196" s="482"/>
      <c r="J1196" s="483">
        <v>0.76500000000000001</v>
      </c>
      <c r="K1196" s="480">
        <v>5000</v>
      </c>
      <c r="L1196" s="481">
        <v>0.57999999999999996</v>
      </c>
      <c r="M1196" s="482">
        <v>8000</v>
      </c>
      <c r="N1196" s="483">
        <v>0.57999999999999996</v>
      </c>
      <c r="O1196" s="513">
        <v>8000</v>
      </c>
      <c r="P1196" s="514">
        <v>8000</v>
      </c>
      <c r="Q1196" s="486">
        <v>0.216</v>
      </c>
      <c r="R1196" s="485">
        <v>8.7899999999999991</v>
      </c>
      <c r="S1196" s="515">
        <v>17.3</v>
      </c>
      <c r="T1196" s="516">
        <v>33.799999999999997</v>
      </c>
      <c r="U1196" s="490">
        <v>6</v>
      </c>
      <c r="V1196" s="373"/>
      <c r="W1196" s="391" t="s">
        <v>537</v>
      </c>
    </row>
    <row r="1197" spans="1:23">
      <c r="A1197" s="568" t="s">
        <v>1668</v>
      </c>
      <c r="B1197" s="542">
        <v>4.37</v>
      </c>
      <c r="C1197" s="543">
        <v>13.9</v>
      </c>
      <c r="D1197" s="543">
        <v>0.90400000000000003</v>
      </c>
      <c r="E1197" s="544">
        <v>2.36</v>
      </c>
      <c r="F1197" s="512"/>
      <c r="G1197" s="480"/>
      <c r="H1197" s="481"/>
      <c r="I1197" s="482"/>
      <c r="J1197" s="483">
        <v>0.68799999999999994</v>
      </c>
      <c r="K1197" s="480">
        <v>6500</v>
      </c>
      <c r="L1197" s="481">
        <v>0.57999999999999996</v>
      </c>
      <c r="M1197" s="482">
        <v>8000</v>
      </c>
      <c r="N1197" s="483">
        <v>0.57999999999999996</v>
      </c>
      <c r="O1197" s="513">
        <v>8000</v>
      </c>
      <c r="P1197" s="514">
        <v>8000</v>
      </c>
      <c r="Q1197" s="486">
        <v>0.216</v>
      </c>
      <c r="R1197" s="485">
        <v>5.46</v>
      </c>
      <c r="S1197" s="515">
        <v>11.1</v>
      </c>
      <c r="T1197" s="516">
        <v>27</v>
      </c>
      <c r="U1197" s="490">
        <v>6</v>
      </c>
      <c r="V1197" s="373"/>
      <c r="W1197" s="391" t="s">
        <v>537</v>
      </c>
    </row>
    <row r="1198" spans="1:23">
      <c r="A1198" s="568" t="s">
        <v>1669</v>
      </c>
      <c r="B1198" s="542">
        <v>4.41</v>
      </c>
      <c r="C1198" s="543">
        <v>21.6</v>
      </c>
      <c r="D1198" s="543">
        <v>0.91700000000000004</v>
      </c>
      <c r="E1198" s="544">
        <v>3.71</v>
      </c>
      <c r="F1198" s="512"/>
      <c r="G1198" s="480"/>
      <c r="H1198" s="481"/>
      <c r="I1198" s="482"/>
      <c r="J1198" s="483">
        <v>0.59299999999999997</v>
      </c>
      <c r="K1198" s="480">
        <v>8000</v>
      </c>
      <c r="L1198" s="481">
        <v>0.59</v>
      </c>
      <c r="M1198" s="482">
        <v>8000</v>
      </c>
      <c r="N1198" s="483">
        <v>0.57999999999999996</v>
      </c>
      <c r="O1198" s="513">
        <v>8000</v>
      </c>
      <c r="P1198" s="514">
        <v>8000</v>
      </c>
      <c r="Q1198" s="486">
        <v>0.216</v>
      </c>
      <c r="R1198" s="485">
        <v>2.36</v>
      </c>
      <c r="S1198" s="515">
        <v>4.68</v>
      </c>
      <c r="T1198" s="516">
        <v>17.600000000000001</v>
      </c>
      <c r="U1198" s="490">
        <v>6</v>
      </c>
      <c r="V1198" s="373"/>
      <c r="W1198" s="391" t="s">
        <v>537</v>
      </c>
    </row>
    <row r="1199" spans="1:23">
      <c r="A1199" s="568" t="s">
        <v>1670</v>
      </c>
      <c r="B1199" s="542">
        <v>5.5</v>
      </c>
      <c r="C1199" s="543">
        <v>11.1</v>
      </c>
      <c r="D1199" s="543">
        <v>1.1200000000000001</v>
      </c>
      <c r="E1199" s="544">
        <v>2.41</v>
      </c>
      <c r="F1199" s="512"/>
      <c r="G1199" s="480"/>
      <c r="H1199" s="481"/>
      <c r="I1199" s="482"/>
      <c r="J1199" s="483">
        <v>1.04</v>
      </c>
      <c r="K1199" s="480">
        <v>4000</v>
      </c>
      <c r="L1199" s="481">
        <v>0.83</v>
      </c>
      <c r="M1199" s="482">
        <v>8000</v>
      </c>
      <c r="N1199" s="483">
        <v>0.83</v>
      </c>
      <c r="O1199" s="513">
        <v>8000</v>
      </c>
      <c r="P1199" s="514">
        <v>8000</v>
      </c>
      <c r="Q1199" s="486">
        <v>0.27</v>
      </c>
      <c r="R1199" s="485">
        <v>9.0399999999999991</v>
      </c>
      <c r="S1199" s="515">
        <v>18.7</v>
      </c>
      <c r="T1199" s="516">
        <v>40.799999999999997</v>
      </c>
      <c r="U1199" s="490">
        <v>6</v>
      </c>
      <c r="V1199" s="373"/>
      <c r="W1199" s="391" t="s">
        <v>537</v>
      </c>
    </row>
    <row r="1200" spans="1:23">
      <c r="A1200" s="568" t="s">
        <v>1671</v>
      </c>
      <c r="B1200" s="542">
        <v>5.51</v>
      </c>
      <c r="C1200" s="543">
        <v>14</v>
      </c>
      <c r="D1200" s="543">
        <v>1.1200000000000001</v>
      </c>
      <c r="E1200" s="544">
        <v>2.41</v>
      </c>
      <c r="F1200" s="512"/>
      <c r="G1200" s="480"/>
      <c r="H1200" s="481"/>
      <c r="I1200" s="482"/>
      <c r="J1200" s="483">
        <v>0.98099999999999998</v>
      </c>
      <c r="K1200" s="480">
        <v>5500</v>
      </c>
      <c r="L1200" s="481">
        <v>0.83</v>
      </c>
      <c r="M1200" s="482">
        <v>8000</v>
      </c>
      <c r="N1200" s="483">
        <v>0.83</v>
      </c>
      <c r="O1200" s="513">
        <v>8000</v>
      </c>
      <c r="P1200" s="514">
        <v>8000</v>
      </c>
      <c r="Q1200" s="486">
        <v>0.27</v>
      </c>
      <c r="R1200" s="485">
        <v>5.46</v>
      </c>
      <c r="S1200" s="515">
        <v>11.8</v>
      </c>
      <c r="T1200" s="516">
        <v>32.4</v>
      </c>
      <c r="U1200" s="490">
        <v>6</v>
      </c>
      <c r="V1200" s="373"/>
      <c r="W1200" s="391" t="s">
        <v>537</v>
      </c>
    </row>
    <row r="1201" spans="1:23">
      <c r="A1201" s="568" t="s">
        <v>1672</v>
      </c>
      <c r="B1201" s="542">
        <v>5.53</v>
      </c>
      <c r="C1201" s="543">
        <v>19.5</v>
      </c>
      <c r="D1201" s="543">
        <v>1.1299999999999999</v>
      </c>
      <c r="E1201" s="544">
        <v>3.38</v>
      </c>
      <c r="F1201" s="512"/>
      <c r="G1201" s="480"/>
      <c r="H1201" s="481"/>
      <c r="I1201" s="482"/>
      <c r="J1201" s="483">
        <v>0.83899999999999997</v>
      </c>
      <c r="K1201" s="480">
        <v>8000</v>
      </c>
      <c r="L1201" s="481">
        <v>0.84</v>
      </c>
      <c r="M1201" s="482">
        <v>8000</v>
      </c>
      <c r="N1201" s="483">
        <v>0.83</v>
      </c>
      <c r="O1201" s="513">
        <v>8000</v>
      </c>
      <c r="P1201" s="514">
        <v>8000</v>
      </c>
      <c r="Q1201" s="486">
        <v>0.27</v>
      </c>
      <c r="R1201" s="485">
        <v>2.96</v>
      </c>
      <c r="S1201" s="515">
        <v>6.16</v>
      </c>
      <c r="T1201" s="516">
        <v>23.4</v>
      </c>
      <c r="U1201" s="490">
        <v>6</v>
      </c>
      <c r="V1201" s="373"/>
      <c r="W1201" s="391" t="s">
        <v>537</v>
      </c>
    </row>
    <row r="1202" spans="1:23">
      <c r="A1202" s="568" t="s">
        <v>1673</v>
      </c>
      <c r="B1202" s="542">
        <v>4.41</v>
      </c>
      <c r="C1202" s="543">
        <v>6.9</v>
      </c>
      <c r="D1202" s="543">
        <v>1</v>
      </c>
      <c r="E1202" s="544">
        <v>1.29</v>
      </c>
      <c r="F1202" s="512"/>
      <c r="G1202" s="480"/>
      <c r="H1202" s="481"/>
      <c r="I1202" s="482"/>
      <c r="J1202" s="483">
        <v>0.95</v>
      </c>
      <c r="K1202" s="480">
        <v>2500</v>
      </c>
      <c r="L1202" s="481">
        <v>0.82</v>
      </c>
      <c r="M1202" s="482">
        <v>6000</v>
      </c>
      <c r="N1202" s="483">
        <v>0.82</v>
      </c>
      <c r="O1202" s="513">
        <v>6000</v>
      </c>
      <c r="P1202" s="514">
        <v>8000</v>
      </c>
      <c r="Q1202" s="486">
        <v>0.33</v>
      </c>
      <c r="R1202" s="485">
        <v>21.4</v>
      </c>
      <c r="S1202" s="515">
        <v>37.5</v>
      </c>
      <c r="T1202" s="516">
        <v>54.5</v>
      </c>
      <c r="U1202" s="490">
        <v>8</v>
      </c>
      <c r="V1202" s="373"/>
      <c r="W1202" s="391" t="s">
        <v>537</v>
      </c>
    </row>
    <row r="1203" spans="1:23">
      <c r="A1203" s="568" t="s">
        <v>1674</v>
      </c>
      <c r="B1203" s="542">
        <v>4.5199999999999996</v>
      </c>
      <c r="C1203" s="543">
        <v>15</v>
      </c>
      <c r="D1203" s="543">
        <v>1.04</v>
      </c>
      <c r="E1203" s="544">
        <v>2.76</v>
      </c>
      <c r="F1203" s="512"/>
      <c r="G1203" s="480"/>
      <c r="H1203" s="481"/>
      <c r="I1203" s="482"/>
      <c r="J1203" s="483">
        <v>0.86</v>
      </c>
      <c r="K1203" s="480">
        <v>6000</v>
      </c>
      <c r="L1203" s="481">
        <v>0.74</v>
      </c>
      <c r="M1203" s="482">
        <v>8000</v>
      </c>
      <c r="N1203" s="483">
        <v>0.74</v>
      </c>
      <c r="O1203" s="513">
        <v>8000</v>
      </c>
      <c r="P1203" s="514">
        <v>8000</v>
      </c>
      <c r="Q1203" s="486">
        <v>0.33</v>
      </c>
      <c r="R1203" s="485">
        <v>4.76</v>
      </c>
      <c r="S1203" s="515">
        <v>8.6</v>
      </c>
      <c r="T1203" s="516">
        <v>26.1</v>
      </c>
      <c r="U1203" s="490">
        <v>8</v>
      </c>
      <c r="V1203" s="373"/>
      <c r="W1203" s="391" t="s">
        <v>537</v>
      </c>
    </row>
    <row r="1204" spans="1:23">
      <c r="A1204" s="568" t="s">
        <v>1675</v>
      </c>
      <c r="B1204" s="542">
        <v>4.59</v>
      </c>
      <c r="C1204" s="543">
        <v>29.3</v>
      </c>
      <c r="D1204" s="543">
        <v>1.08</v>
      </c>
      <c r="E1204" s="544">
        <v>5.59</v>
      </c>
      <c r="F1204" s="512"/>
      <c r="G1204" s="480"/>
      <c r="H1204" s="481"/>
      <c r="I1204" s="482"/>
      <c r="J1204" s="483">
        <v>0.76</v>
      </c>
      <c r="K1204" s="480">
        <v>8000</v>
      </c>
      <c r="L1204" s="481">
        <v>0.76</v>
      </c>
      <c r="M1204" s="482">
        <v>8000</v>
      </c>
      <c r="N1204" s="483">
        <v>0.76</v>
      </c>
      <c r="O1204" s="513">
        <v>8000</v>
      </c>
      <c r="P1204" s="514">
        <v>8000</v>
      </c>
      <c r="Q1204" s="486">
        <v>0.33</v>
      </c>
      <c r="R1204" s="485">
        <v>1.31</v>
      </c>
      <c r="S1204" s="515">
        <v>2.4</v>
      </c>
      <c r="T1204" s="516">
        <v>13.7</v>
      </c>
      <c r="U1204" s="490">
        <v>8</v>
      </c>
      <c r="V1204" s="373"/>
      <c r="W1204" s="391" t="s">
        <v>537</v>
      </c>
    </row>
    <row r="1205" spans="1:23">
      <c r="A1205" s="568" t="s">
        <v>1676</v>
      </c>
      <c r="B1205" s="542">
        <v>8.1</v>
      </c>
      <c r="C1205" s="543">
        <v>7.2</v>
      </c>
      <c r="D1205" s="543">
        <v>1.72</v>
      </c>
      <c r="E1205" s="544">
        <v>1.3</v>
      </c>
      <c r="F1205" s="512"/>
      <c r="G1205" s="480"/>
      <c r="H1205" s="481"/>
      <c r="I1205" s="482"/>
      <c r="J1205" s="483">
        <v>1.66</v>
      </c>
      <c r="K1205" s="480">
        <v>1500</v>
      </c>
      <c r="L1205" s="481">
        <v>1.57</v>
      </c>
      <c r="M1205" s="482">
        <v>3000</v>
      </c>
      <c r="N1205" s="483">
        <v>1.52</v>
      </c>
      <c r="O1205" s="513">
        <v>3500</v>
      </c>
      <c r="P1205" s="514">
        <v>8000</v>
      </c>
      <c r="Q1205" s="486">
        <v>0.59</v>
      </c>
      <c r="R1205" s="485">
        <v>23.8</v>
      </c>
      <c r="S1205" s="515">
        <v>46.5</v>
      </c>
      <c r="T1205" s="516">
        <v>89.8</v>
      </c>
      <c r="U1205" s="490">
        <v>8</v>
      </c>
      <c r="V1205" s="373"/>
      <c r="W1205" s="391" t="s">
        <v>537</v>
      </c>
    </row>
    <row r="1206" spans="1:23">
      <c r="A1206" s="568" t="s">
        <v>1677</v>
      </c>
      <c r="B1206" s="542">
        <v>8.24</v>
      </c>
      <c r="C1206" s="543">
        <v>14.1</v>
      </c>
      <c r="D1206" s="543">
        <v>1.77</v>
      </c>
      <c r="E1206" s="544">
        <v>2.56</v>
      </c>
      <c r="F1206" s="512"/>
      <c r="G1206" s="480"/>
      <c r="H1206" s="481"/>
      <c r="I1206" s="482"/>
      <c r="J1206" s="483">
        <v>1.57</v>
      </c>
      <c r="K1206" s="480">
        <v>3500</v>
      </c>
      <c r="L1206" s="481">
        <v>1.1000000000000001</v>
      </c>
      <c r="M1206" s="482">
        <v>7000</v>
      </c>
      <c r="N1206" s="483">
        <v>0.92</v>
      </c>
      <c r="O1206" s="513">
        <v>8000</v>
      </c>
      <c r="P1206" s="514">
        <v>8000</v>
      </c>
      <c r="Q1206" s="486">
        <v>0.59</v>
      </c>
      <c r="R1206" s="485">
        <v>6.32</v>
      </c>
      <c r="S1206" s="515">
        <v>12.8</v>
      </c>
      <c r="T1206" s="516">
        <v>47.1</v>
      </c>
      <c r="U1206" s="490">
        <v>8</v>
      </c>
      <c r="V1206" s="373"/>
      <c r="W1206" s="391" t="s">
        <v>537</v>
      </c>
    </row>
    <row r="1207" spans="1:23">
      <c r="A1207" s="568" t="s">
        <v>1678</v>
      </c>
      <c r="B1207" s="542">
        <v>8.39</v>
      </c>
      <c r="C1207" s="543">
        <v>27.5</v>
      </c>
      <c r="D1207" s="543">
        <v>1.82</v>
      </c>
      <c r="E1207" s="544">
        <v>4.92</v>
      </c>
      <c r="F1207" s="512"/>
      <c r="G1207" s="480"/>
      <c r="H1207" s="481"/>
      <c r="I1207" s="482"/>
      <c r="J1207" s="483">
        <v>1.1299999999999999</v>
      </c>
      <c r="K1207" s="480">
        <v>7000</v>
      </c>
      <c r="L1207" s="481">
        <v>0.95</v>
      </c>
      <c r="M1207" s="482">
        <v>8000</v>
      </c>
      <c r="N1207" s="483">
        <v>0.95</v>
      </c>
      <c r="O1207" s="513">
        <v>8000</v>
      </c>
      <c r="P1207" s="514">
        <v>8000</v>
      </c>
      <c r="Q1207" s="486">
        <v>0.59</v>
      </c>
      <c r="R1207" s="485">
        <v>1.71</v>
      </c>
      <c r="S1207" s="515">
        <v>3.53</v>
      </c>
      <c r="T1207" s="516">
        <v>24.8</v>
      </c>
      <c r="U1207" s="490">
        <v>8</v>
      </c>
      <c r="V1207" s="373"/>
      <c r="W1207" s="391" t="s">
        <v>537</v>
      </c>
    </row>
    <row r="1208" spans="1:23">
      <c r="A1208" s="568" t="s">
        <v>1679</v>
      </c>
      <c r="B1208" s="542">
        <v>11.5</v>
      </c>
      <c r="C1208" s="543">
        <v>7.4</v>
      </c>
      <c r="D1208" s="543">
        <v>2.25</v>
      </c>
      <c r="E1208" s="544">
        <v>1.27</v>
      </c>
      <c r="F1208" s="512"/>
      <c r="G1208" s="480"/>
      <c r="H1208" s="481"/>
      <c r="I1208" s="482"/>
      <c r="J1208" s="483">
        <v>2.2200000000000002</v>
      </c>
      <c r="K1208" s="480">
        <v>1000</v>
      </c>
      <c r="L1208" s="481">
        <v>2.14</v>
      </c>
      <c r="M1208" s="482">
        <v>2000</v>
      </c>
      <c r="N1208" s="483">
        <v>2.09</v>
      </c>
      <c r="O1208" s="513">
        <v>2500</v>
      </c>
      <c r="P1208" s="514">
        <v>8000</v>
      </c>
      <c r="Q1208" s="486">
        <v>0.85</v>
      </c>
      <c r="R1208" s="485">
        <v>26.6</v>
      </c>
      <c r="S1208" s="515">
        <v>53.6</v>
      </c>
      <c r="T1208" s="516">
        <v>120</v>
      </c>
      <c r="U1208" s="490">
        <v>8</v>
      </c>
      <c r="V1208" s="373"/>
      <c r="W1208" s="391" t="s">
        <v>537</v>
      </c>
    </row>
    <row r="1209" spans="1:23">
      <c r="A1209" s="568" t="s">
        <v>1680</v>
      </c>
      <c r="B1209" s="542">
        <v>11.7</v>
      </c>
      <c r="C1209" s="543">
        <v>12.9</v>
      </c>
      <c r="D1209" s="543">
        <v>2.3199999999999998</v>
      </c>
      <c r="E1209" s="544">
        <v>2.2000000000000002</v>
      </c>
      <c r="F1209" s="512"/>
      <c r="G1209" s="480"/>
      <c r="H1209" s="481"/>
      <c r="I1209" s="482"/>
      <c r="J1209" s="483">
        <v>2.2000000000000002</v>
      </c>
      <c r="K1209" s="480">
        <v>2000</v>
      </c>
      <c r="L1209" s="481">
        <v>1.82</v>
      </c>
      <c r="M1209" s="482">
        <v>4500</v>
      </c>
      <c r="N1209" s="483">
        <v>1.72</v>
      </c>
      <c r="O1209" s="513">
        <v>5000</v>
      </c>
      <c r="P1209" s="514">
        <v>8000</v>
      </c>
      <c r="Q1209" s="486">
        <v>0.85</v>
      </c>
      <c r="R1209" s="485">
        <v>9.0299999999999994</v>
      </c>
      <c r="S1209" s="515">
        <v>18.5</v>
      </c>
      <c r="T1209" s="516">
        <v>70.599999999999994</v>
      </c>
      <c r="U1209" s="490">
        <v>8</v>
      </c>
      <c r="V1209" s="373"/>
      <c r="W1209" s="391" t="s">
        <v>537</v>
      </c>
    </row>
    <row r="1210" spans="1:23">
      <c r="A1210" s="568" t="s">
        <v>1681</v>
      </c>
      <c r="B1210" s="542">
        <v>11.9</v>
      </c>
      <c r="C1210" s="543">
        <v>28.1</v>
      </c>
      <c r="D1210" s="543">
        <v>2.38</v>
      </c>
      <c r="E1210" s="544">
        <v>4.78</v>
      </c>
      <c r="F1210" s="512"/>
      <c r="G1210" s="480"/>
      <c r="H1210" s="481"/>
      <c r="I1210" s="482"/>
      <c r="J1210" s="483">
        <v>1.64</v>
      </c>
      <c r="K1210" s="480">
        <v>5500</v>
      </c>
      <c r="L1210" s="481">
        <v>0.88</v>
      </c>
      <c r="M1210" s="482">
        <v>8000</v>
      </c>
      <c r="N1210" s="483">
        <v>0.88</v>
      </c>
      <c r="O1210" s="513">
        <v>8000</v>
      </c>
      <c r="P1210" s="514">
        <v>8000</v>
      </c>
      <c r="Q1210" s="486">
        <v>0.85</v>
      </c>
      <c r="R1210" s="485">
        <v>1.98</v>
      </c>
      <c r="S1210" s="515">
        <v>4.0999999999999996</v>
      </c>
      <c r="T1210" s="516">
        <v>33.4</v>
      </c>
      <c r="U1210" s="490">
        <v>8</v>
      </c>
      <c r="V1210" s="373"/>
      <c r="W1210" s="391" t="s">
        <v>537</v>
      </c>
    </row>
    <row r="1211" spans="1:23">
      <c r="A1211" s="568" t="s">
        <v>1682</v>
      </c>
      <c r="B1211" s="542">
        <v>6.82</v>
      </c>
      <c r="C1211" s="543">
        <v>7.3</v>
      </c>
      <c r="D1211" s="543">
        <v>1.85</v>
      </c>
      <c r="E1211" s="544">
        <v>1.39</v>
      </c>
      <c r="F1211" s="512"/>
      <c r="G1211" s="480"/>
      <c r="H1211" s="481"/>
      <c r="I1211" s="482"/>
      <c r="J1211" s="483">
        <v>1.78</v>
      </c>
      <c r="K1211" s="480">
        <v>1200</v>
      </c>
      <c r="L1211" s="481">
        <v>1.68</v>
      </c>
      <c r="M1211" s="482">
        <v>3000</v>
      </c>
      <c r="N1211" s="483">
        <v>1.65</v>
      </c>
      <c r="O1211" s="513">
        <v>3500</v>
      </c>
      <c r="P1211" s="514">
        <v>6000</v>
      </c>
      <c r="Q1211" s="486">
        <v>0.81</v>
      </c>
      <c r="R1211" s="485">
        <v>21.3</v>
      </c>
      <c r="S1211" s="515">
        <v>66.099999999999994</v>
      </c>
      <c r="T1211" s="516">
        <v>86.3</v>
      </c>
      <c r="U1211" s="490">
        <v>10</v>
      </c>
      <c r="V1211" s="373"/>
      <c r="W1211" s="391" t="s">
        <v>537</v>
      </c>
    </row>
    <row r="1212" spans="1:23">
      <c r="A1212" s="568" t="s">
        <v>1683</v>
      </c>
      <c r="B1212" s="542">
        <v>6.95</v>
      </c>
      <c r="C1212" s="543">
        <v>14.3</v>
      </c>
      <c r="D1212" s="543">
        <v>1.92</v>
      </c>
      <c r="E1212" s="544">
        <v>2.71</v>
      </c>
      <c r="F1212" s="512"/>
      <c r="G1212" s="480"/>
      <c r="H1212" s="481"/>
      <c r="I1212" s="482"/>
      <c r="J1212" s="483">
        <v>1.74</v>
      </c>
      <c r="K1212" s="480">
        <v>3000</v>
      </c>
      <c r="L1212" s="481">
        <v>1.44</v>
      </c>
      <c r="M1212" s="482">
        <v>6000</v>
      </c>
      <c r="N1212" s="483">
        <v>1.44</v>
      </c>
      <c r="O1212" s="513">
        <v>6000</v>
      </c>
      <c r="P1212" s="514">
        <v>6000</v>
      </c>
      <c r="Q1212" s="486">
        <v>0.81</v>
      </c>
      <c r="R1212" s="485">
        <v>6.04</v>
      </c>
      <c r="S1212" s="515">
        <v>18.399999999999999</v>
      </c>
      <c r="T1212" s="516">
        <v>45.6</v>
      </c>
      <c r="U1212" s="490">
        <v>10</v>
      </c>
      <c r="V1212" s="373"/>
      <c r="W1212" s="391" t="s">
        <v>537</v>
      </c>
    </row>
    <row r="1213" spans="1:23">
      <c r="A1213" s="568" t="s">
        <v>1684</v>
      </c>
      <c r="B1213" s="542">
        <v>7</v>
      </c>
      <c r="C1213" s="543">
        <v>28</v>
      </c>
      <c r="D1213" s="543">
        <v>1.96</v>
      </c>
      <c r="E1213" s="544">
        <v>5.32</v>
      </c>
      <c r="F1213" s="512"/>
      <c r="G1213" s="480"/>
      <c r="H1213" s="481"/>
      <c r="I1213" s="482"/>
      <c r="J1213" s="483">
        <v>1.47</v>
      </c>
      <c r="K1213" s="480">
        <v>6000</v>
      </c>
      <c r="L1213" s="481">
        <v>1.47</v>
      </c>
      <c r="M1213" s="482">
        <v>6000</v>
      </c>
      <c r="N1213" s="483">
        <v>1.47</v>
      </c>
      <c r="O1213" s="513">
        <v>6000</v>
      </c>
      <c r="P1213" s="514">
        <v>6000</v>
      </c>
      <c r="Q1213" s="486">
        <v>0.81</v>
      </c>
      <c r="R1213" s="485">
        <v>1.58</v>
      </c>
      <c r="S1213" s="515">
        <v>5</v>
      </c>
      <c r="T1213" s="516">
        <v>23.7</v>
      </c>
      <c r="U1213" s="490">
        <v>10</v>
      </c>
      <c r="V1213" s="373"/>
      <c r="W1213" s="391" t="s">
        <v>537</v>
      </c>
    </row>
    <row r="1214" spans="1:23">
      <c r="A1214" s="568" t="s">
        <v>1685</v>
      </c>
      <c r="B1214" s="542">
        <v>12.6</v>
      </c>
      <c r="C1214" s="543">
        <v>7</v>
      </c>
      <c r="D1214" s="543">
        <v>3.22</v>
      </c>
      <c r="E1214" s="544">
        <v>1.35</v>
      </c>
      <c r="F1214" s="512"/>
      <c r="G1214" s="480"/>
      <c r="H1214" s="481"/>
      <c r="I1214" s="482"/>
      <c r="J1214" s="483"/>
      <c r="K1214" s="480"/>
      <c r="L1214" s="481">
        <v>2.98</v>
      </c>
      <c r="M1214" s="482">
        <v>1500</v>
      </c>
      <c r="N1214" s="483">
        <v>2.91</v>
      </c>
      <c r="O1214" s="513">
        <v>2000</v>
      </c>
      <c r="P1214" s="514">
        <v>6000</v>
      </c>
      <c r="Q1214" s="486">
        <v>1.45</v>
      </c>
      <c r="R1214" s="485">
        <v>27.5</v>
      </c>
      <c r="S1214" s="515">
        <v>97.4</v>
      </c>
      <c r="T1214" s="516">
        <v>154</v>
      </c>
      <c r="U1214" s="490">
        <v>10</v>
      </c>
      <c r="V1214" s="373"/>
      <c r="W1214" s="391" t="s">
        <v>537</v>
      </c>
    </row>
    <row r="1215" spans="1:23">
      <c r="A1215" s="568" t="s">
        <v>1686</v>
      </c>
      <c r="B1215" s="542">
        <v>12.8</v>
      </c>
      <c r="C1215" s="543">
        <v>13.7</v>
      </c>
      <c r="D1215" s="543">
        <v>3.28</v>
      </c>
      <c r="E1215" s="544">
        <v>2.63</v>
      </c>
      <c r="F1215" s="512"/>
      <c r="G1215" s="480"/>
      <c r="H1215" s="481"/>
      <c r="I1215" s="482"/>
      <c r="J1215" s="483">
        <v>2.99</v>
      </c>
      <c r="K1215" s="480">
        <v>1800</v>
      </c>
      <c r="L1215" s="481">
        <v>2.72</v>
      </c>
      <c r="M1215" s="482">
        <v>3500</v>
      </c>
      <c r="N1215" s="483">
        <v>2.61</v>
      </c>
      <c r="O1215" s="513">
        <v>4000</v>
      </c>
      <c r="P1215" s="514">
        <v>6000</v>
      </c>
      <c r="Q1215" s="486">
        <v>1.45</v>
      </c>
      <c r="R1215" s="485">
        <v>7.8</v>
      </c>
      <c r="S1215" s="515">
        <v>26.8</v>
      </c>
      <c r="T1215" s="516">
        <v>80.900000000000006</v>
      </c>
      <c r="U1215" s="490">
        <v>10</v>
      </c>
      <c r="V1215" s="373"/>
      <c r="W1215" s="391" t="s">
        <v>537</v>
      </c>
    </row>
    <row r="1216" spans="1:23">
      <c r="A1216" s="568" t="s">
        <v>1687</v>
      </c>
      <c r="B1216" s="542">
        <v>13.1</v>
      </c>
      <c r="C1216" s="543">
        <v>30</v>
      </c>
      <c r="D1216" s="543">
        <v>3.4</v>
      </c>
      <c r="E1216" s="544">
        <v>5.76</v>
      </c>
      <c r="F1216" s="512"/>
      <c r="G1216" s="480"/>
      <c r="H1216" s="481"/>
      <c r="I1216" s="482"/>
      <c r="J1216" s="483">
        <v>2.63</v>
      </c>
      <c r="K1216" s="480">
        <v>4500</v>
      </c>
      <c r="L1216" s="481">
        <v>2.21</v>
      </c>
      <c r="M1216" s="482">
        <v>6000</v>
      </c>
      <c r="N1216" s="483">
        <v>2.21</v>
      </c>
      <c r="O1216" s="513">
        <v>6000</v>
      </c>
      <c r="P1216" s="514">
        <v>6000</v>
      </c>
      <c r="Q1216" s="486">
        <v>1.45</v>
      </c>
      <c r="R1216" s="485">
        <v>1.67</v>
      </c>
      <c r="S1216" s="515">
        <v>6</v>
      </c>
      <c r="T1216" s="516">
        <v>38.299999999999997</v>
      </c>
      <c r="U1216" s="490">
        <v>10</v>
      </c>
      <c r="V1216" s="373"/>
      <c r="W1216" s="391" t="s">
        <v>537</v>
      </c>
    </row>
    <row r="1217" spans="1:23">
      <c r="A1217" s="568" t="s">
        <v>1688</v>
      </c>
      <c r="B1217" s="542">
        <v>13.1</v>
      </c>
      <c r="C1217" s="543">
        <v>42</v>
      </c>
      <c r="D1217" s="543">
        <v>3.42</v>
      </c>
      <c r="E1217" s="544">
        <v>8.06</v>
      </c>
      <c r="F1217" s="512"/>
      <c r="G1217" s="480"/>
      <c r="H1217" s="481"/>
      <c r="I1217" s="482"/>
      <c r="J1217" s="483">
        <v>2.23</v>
      </c>
      <c r="K1217" s="480">
        <v>6000</v>
      </c>
      <c r="L1217" s="481">
        <v>2.23</v>
      </c>
      <c r="M1217" s="482">
        <v>6000</v>
      </c>
      <c r="N1217" s="483">
        <v>2.23</v>
      </c>
      <c r="O1217" s="513">
        <v>6000</v>
      </c>
      <c r="P1217" s="514">
        <v>6000</v>
      </c>
      <c r="Q1217" s="486">
        <v>1.45</v>
      </c>
      <c r="R1217" s="485">
        <v>0.82</v>
      </c>
      <c r="S1217" s="515">
        <v>3.1</v>
      </c>
      <c r="T1217" s="516">
        <v>27.5</v>
      </c>
      <c r="U1217" s="490">
        <v>10</v>
      </c>
      <c r="V1217" s="373"/>
      <c r="W1217" s="391" t="s">
        <v>537</v>
      </c>
    </row>
    <row r="1218" spans="1:23">
      <c r="A1218" s="568" t="s">
        <v>1689</v>
      </c>
      <c r="B1218" s="542">
        <v>18.3</v>
      </c>
      <c r="C1218" s="543">
        <v>13.7</v>
      </c>
      <c r="D1218" s="543">
        <v>4.5599999999999996</v>
      </c>
      <c r="E1218" s="544">
        <v>2.68</v>
      </c>
      <c r="F1218" s="512"/>
      <c r="G1218" s="480"/>
      <c r="H1218" s="481"/>
      <c r="I1218" s="482"/>
      <c r="J1218" s="483">
        <v>4.1500000000000004</v>
      </c>
      <c r="K1218" s="480">
        <v>1500</v>
      </c>
      <c r="L1218" s="481">
        <v>3.83</v>
      </c>
      <c r="M1218" s="482">
        <v>2500</v>
      </c>
      <c r="N1218" s="483">
        <v>3.68</v>
      </c>
      <c r="O1218" s="513">
        <v>3000</v>
      </c>
      <c r="P1218" s="514">
        <v>6000</v>
      </c>
      <c r="Q1218" s="486">
        <v>2.09</v>
      </c>
      <c r="R1218" s="485">
        <v>8.6300000000000008</v>
      </c>
      <c r="S1218" s="515">
        <v>32.6</v>
      </c>
      <c r="T1218" s="516">
        <v>111</v>
      </c>
      <c r="U1218" s="490">
        <v>10</v>
      </c>
      <c r="V1218" s="373"/>
      <c r="W1218" s="391" t="s">
        <v>537</v>
      </c>
    </row>
    <row r="1219" spans="1:23">
      <c r="A1219" s="568" t="s">
        <v>1690</v>
      </c>
      <c r="B1219" s="542">
        <v>18.7</v>
      </c>
      <c r="C1219" s="543">
        <v>27.2</v>
      </c>
      <c r="D1219" s="543">
        <v>4.68</v>
      </c>
      <c r="E1219" s="544">
        <v>5.24</v>
      </c>
      <c r="F1219" s="512"/>
      <c r="G1219" s="480"/>
      <c r="H1219" s="481"/>
      <c r="I1219" s="482"/>
      <c r="J1219" s="483">
        <v>3.77</v>
      </c>
      <c r="K1219" s="480">
        <v>3000</v>
      </c>
      <c r="L1219" s="481">
        <v>2.44</v>
      </c>
      <c r="M1219" s="482">
        <v>6000</v>
      </c>
      <c r="N1219" s="483">
        <v>2.44</v>
      </c>
      <c r="O1219" s="513">
        <v>6000</v>
      </c>
      <c r="P1219" s="514">
        <v>6000</v>
      </c>
      <c r="Q1219" s="486">
        <v>2.09</v>
      </c>
      <c r="R1219" s="485">
        <v>2.12</v>
      </c>
      <c r="S1219" s="515">
        <v>8.8000000000000007</v>
      </c>
      <c r="T1219" s="516">
        <v>57.4</v>
      </c>
      <c r="U1219" s="490">
        <v>10</v>
      </c>
      <c r="V1219" s="373"/>
      <c r="W1219" s="391" t="s">
        <v>537</v>
      </c>
    </row>
    <row r="1220" spans="1:23">
      <c r="A1220" s="476" t="s">
        <v>1691</v>
      </c>
      <c r="B1220" s="542">
        <v>18.399999999999999</v>
      </c>
      <c r="C1220" s="543">
        <v>55.8</v>
      </c>
      <c r="D1220" s="543">
        <v>4.59</v>
      </c>
      <c r="E1220" s="544">
        <v>10.9</v>
      </c>
      <c r="F1220" s="512"/>
      <c r="G1220" s="480"/>
      <c r="H1220" s="481"/>
      <c r="I1220" s="482"/>
      <c r="J1220" s="483">
        <v>2.39</v>
      </c>
      <c r="K1220" s="480">
        <v>6000</v>
      </c>
      <c r="L1220" s="481">
        <v>2.39</v>
      </c>
      <c r="M1220" s="482">
        <v>6000</v>
      </c>
      <c r="N1220" s="483">
        <v>2.39</v>
      </c>
      <c r="O1220" s="513">
        <v>6000</v>
      </c>
      <c r="P1220" s="514">
        <v>6000</v>
      </c>
      <c r="Q1220" s="486">
        <v>2.09</v>
      </c>
      <c r="R1220" s="485">
        <v>0.56999999999999995</v>
      </c>
      <c r="S1220" s="515">
        <v>2</v>
      </c>
      <c r="T1220" s="516">
        <v>27.5</v>
      </c>
      <c r="U1220" s="490">
        <v>10</v>
      </c>
      <c r="V1220" s="373"/>
      <c r="W1220" s="391" t="s">
        <v>537</v>
      </c>
    </row>
    <row r="1221" spans="1:23">
      <c r="A1221" s="476" t="s">
        <v>1692</v>
      </c>
      <c r="B1221" s="542">
        <v>23.5</v>
      </c>
      <c r="C1221" s="543">
        <v>14.5</v>
      </c>
      <c r="D1221" s="543">
        <v>5.64</v>
      </c>
      <c r="E1221" s="544">
        <v>2.79</v>
      </c>
      <c r="F1221" s="512"/>
      <c r="G1221" s="480"/>
      <c r="H1221" s="481"/>
      <c r="I1221" s="482"/>
      <c r="J1221" s="483">
        <v>5.13</v>
      </c>
      <c r="K1221" s="480">
        <v>1200</v>
      </c>
      <c r="L1221" s="481">
        <v>4.76</v>
      </c>
      <c r="M1221" s="482">
        <v>2000</v>
      </c>
      <c r="N1221" s="483">
        <v>4.5199999999999996</v>
      </c>
      <c r="O1221" s="513">
        <v>2500</v>
      </c>
      <c r="P1221" s="514">
        <v>6000</v>
      </c>
      <c r="Q1221" s="486">
        <v>2.73</v>
      </c>
      <c r="R1221" s="485">
        <v>8.66</v>
      </c>
      <c r="S1221" s="515">
        <v>33.9</v>
      </c>
      <c r="T1221" s="516">
        <v>132</v>
      </c>
      <c r="U1221" s="490">
        <v>10</v>
      </c>
      <c r="V1221" s="373"/>
      <c r="W1221" s="391" t="s">
        <v>537</v>
      </c>
    </row>
    <row r="1222" spans="1:23">
      <c r="A1222" s="476" t="s">
        <v>1693</v>
      </c>
      <c r="B1222" s="542">
        <v>23.5</v>
      </c>
      <c r="C1222" s="543">
        <v>28.1</v>
      </c>
      <c r="D1222" s="543">
        <v>5.77</v>
      </c>
      <c r="E1222" s="544">
        <v>5.49</v>
      </c>
      <c r="F1222" s="512"/>
      <c r="G1222" s="480"/>
      <c r="H1222" s="481"/>
      <c r="I1222" s="482"/>
      <c r="J1222" s="483">
        <v>4.59</v>
      </c>
      <c r="K1222" s="480">
        <v>2500</v>
      </c>
      <c r="L1222" s="481">
        <v>3.31</v>
      </c>
      <c r="M1222" s="482">
        <v>5000</v>
      </c>
      <c r="N1222" s="483">
        <v>2.58</v>
      </c>
      <c r="O1222" s="513">
        <v>6000</v>
      </c>
      <c r="P1222" s="514">
        <v>6000</v>
      </c>
      <c r="Q1222" s="486">
        <v>2.73</v>
      </c>
      <c r="R1222" s="485">
        <v>2.25</v>
      </c>
      <c r="S1222" s="515">
        <v>9.1</v>
      </c>
      <c r="T1222" s="516">
        <v>68</v>
      </c>
      <c r="U1222" s="490">
        <v>10</v>
      </c>
      <c r="V1222" s="373"/>
      <c r="W1222" s="391" t="s">
        <v>537</v>
      </c>
    </row>
    <row r="1223" spans="1:23">
      <c r="A1223" s="476" t="s">
        <v>1694</v>
      </c>
      <c r="B1223" s="542">
        <v>23.5</v>
      </c>
      <c r="C1223" s="543">
        <v>50.5</v>
      </c>
      <c r="D1223" s="543">
        <v>5.76</v>
      </c>
      <c r="E1223" s="544">
        <v>9.9</v>
      </c>
      <c r="F1223" s="512"/>
      <c r="G1223" s="480"/>
      <c r="H1223" s="481"/>
      <c r="I1223" s="482"/>
      <c r="J1223" s="483">
        <v>3.1</v>
      </c>
      <c r="K1223" s="480">
        <v>5000</v>
      </c>
      <c r="L1223" s="481">
        <v>2.5499999999999998</v>
      </c>
      <c r="M1223" s="482">
        <v>6000</v>
      </c>
      <c r="N1223" s="483">
        <v>2.5499999999999998</v>
      </c>
      <c r="O1223" s="513">
        <v>6000</v>
      </c>
      <c r="P1223" s="514">
        <v>6000</v>
      </c>
      <c r="Q1223" s="486">
        <v>2.73</v>
      </c>
      <c r="R1223" s="485">
        <v>0.7</v>
      </c>
      <c r="S1223" s="515">
        <v>2.8</v>
      </c>
      <c r="T1223" s="516">
        <v>37.799999999999997</v>
      </c>
      <c r="U1223" s="490">
        <v>10</v>
      </c>
      <c r="V1223" s="373"/>
      <c r="W1223" s="391" t="s">
        <v>537</v>
      </c>
    </row>
    <row r="1224" spans="1:23">
      <c r="A1224" s="476" t="s">
        <v>1695</v>
      </c>
      <c r="B1224" s="542">
        <v>15</v>
      </c>
      <c r="C1224" s="543">
        <v>13.8</v>
      </c>
      <c r="D1224" s="543">
        <v>3.47</v>
      </c>
      <c r="E1224" s="544">
        <v>2.38</v>
      </c>
      <c r="F1224" s="512"/>
      <c r="G1224" s="480"/>
      <c r="H1224" s="481"/>
      <c r="I1224" s="482"/>
      <c r="J1224" s="483">
        <v>3.28</v>
      </c>
      <c r="K1224" s="480">
        <v>1200</v>
      </c>
      <c r="L1224" s="481">
        <v>2.98</v>
      </c>
      <c r="M1224" s="482">
        <v>2500</v>
      </c>
      <c r="N1224" s="483">
        <v>2.82</v>
      </c>
      <c r="O1224" s="513">
        <v>3000</v>
      </c>
      <c r="P1224" s="514">
        <v>6000</v>
      </c>
      <c r="Q1224" s="486">
        <v>3.42</v>
      </c>
      <c r="R1224" s="485">
        <v>9</v>
      </c>
      <c r="S1224" s="515">
        <v>36.6</v>
      </c>
      <c r="T1224" s="516">
        <v>110</v>
      </c>
      <c r="U1224" s="490">
        <v>10</v>
      </c>
      <c r="V1224" s="373"/>
      <c r="W1224" s="391" t="s">
        <v>537</v>
      </c>
    </row>
    <row r="1225" spans="1:23">
      <c r="A1225" s="476" t="s">
        <v>1696</v>
      </c>
      <c r="B1225" s="542">
        <v>15</v>
      </c>
      <c r="C1225" s="543">
        <v>30</v>
      </c>
      <c r="D1225" s="543">
        <v>3.39</v>
      </c>
      <c r="E1225" s="544">
        <v>5.0199999999999996</v>
      </c>
      <c r="F1225" s="512"/>
      <c r="G1225" s="480"/>
      <c r="H1225" s="481"/>
      <c r="I1225" s="482"/>
      <c r="J1225" s="483">
        <v>2.75</v>
      </c>
      <c r="K1225" s="480">
        <v>3000</v>
      </c>
      <c r="L1225" s="481">
        <v>1.41</v>
      </c>
      <c r="M1225" s="482">
        <v>5500</v>
      </c>
      <c r="N1225" s="483">
        <v>1.41</v>
      </c>
      <c r="O1225" s="513">
        <v>5500</v>
      </c>
      <c r="P1225" s="514">
        <v>6000</v>
      </c>
      <c r="Q1225" s="486">
        <v>3.42</v>
      </c>
      <c r="R1225" s="485">
        <v>2</v>
      </c>
      <c r="S1225" s="515">
        <v>7.9</v>
      </c>
      <c r="T1225" s="516">
        <v>51.3</v>
      </c>
      <c r="U1225" s="490">
        <v>10</v>
      </c>
      <c r="V1225" s="373"/>
      <c r="W1225" s="391" t="s">
        <v>537</v>
      </c>
    </row>
    <row r="1226" spans="1:23">
      <c r="A1226" s="476" t="s">
        <v>1697</v>
      </c>
      <c r="B1226" s="542">
        <v>15.2</v>
      </c>
      <c r="C1226" s="543">
        <v>59.5</v>
      </c>
      <c r="D1226" s="543">
        <v>3.47</v>
      </c>
      <c r="E1226" s="544">
        <v>10</v>
      </c>
      <c r="F1226" s="512"/>
      <c r="G1226" s="480"/>
      <c r="H1226" s="481"/>
      <c r="I1226" s="482"/>
      <c r="J1226" s="483">
        <v>1.45</v>
      </c>
      <c r="K1226" s="480">
        <v>5500</v>
      </c>
      <c r="L1226" s="481">
        <v>1.45</v>
      </c>
      <c r="M1226" s="482">
        <v>5500</v>
      </c>
      <c r="N1226" s="483">
        <v>1.45</v>
      </c>
      <c r="O1226" s="513">
        <v>5500</v>
      </c>
      <c r="P1226" s="514">
        <v>6000</v>
      </c>
      <c r="Q1226" s="486">
        <v>3.42</v>
      </c>
      <c r="R1226" s="485">
        <v>0.57999999999999996</v>
      </c>
      <c r="S1226" s="515">
        <v>2.1</v>
      </c>
      <c r="T1226" s="516">
        <v>26.6</v>
      </c>
      <c r="U1226" s="490">
        <v>10</v>
      </c>
      <c r="V1226" s="373"/>
      <c r="W1226" s="391" t="s">
        <v>537</v>
      </c>
    </row>
    <row r="1227" spans="1:23">
      <c r="A1227" s="476" t="s">
        <v>1698</v>
      </c>
      <c r="B1227" s="542">
        <v>28.9</v>
      </c>
      <c r="C1227" s="543">
        <v>15</v>
      </c>
      <c r="D1227" s="543">
        <v>6.15</v>
      </c>
      <c r="E1227" s="544">
        <v>2.4300000000000002</v>
      </c>
      <c r="F1227" s="512"/>
      <c r="G1227" s="480"/>
      <c r="H1227" s="481"/>
      <c r="I1227" s="482"/>
      <c r="J1227" s="483"/>
      <c r="K1227" s="480"/>
      <c r="L1227" s="481">
        <v>5.39</v>
      </c>
      <c r="M1227" s="482">
        <v>1500</v>
      </c>
      <c r="N1227" s="483">
        <v>5.08</v>
      </c>
      <c r="O1227" s="513">
        <v>2000</v>
      </c>
      <c r="P1227" s="514">
        <v>6000</v>
      </c>
      <c r="Q1227" s="486">
        <v>6.22</v>
      </c>
      <c r="R1227" s="485">
        <v>8.98</v>
      </c>
      <c r="S1227" s="515">
        <v>44.7</v>
      </c>
      <c r="T1227" s="516">
        <v>179</v>
      </c>
      <c r="U1227" s="490">
        <v>10</v>
      </c>
      <c r="V1227" s="373"/>
      <c r="W1227" s="391" t="s">
        <v>537</v>
      </c>
    </row>
    <row r="1228" spans="1:23">
      <c r="A1228" s="476" t="s">
        <v>1699</v>
      </c>
      <c r="B1228" s="542">
        <v>29.1</v>
      </c>
      <c r="C1228" s="543">
        <v>29.5</v>
      </c>
      <c r="D1228" s="543">
        <v>6.29</v>
      </c>
      <c r="E1228" s="544">
        <v>4.8099999999999996</v>
      </c>
      <c r="F1228" s="512"/>
      <c r="G1228" s="480"/>
      <c r="H1228" s="481"/>
      <c r="I1228" s="482"/>
      <c r="J1228" s="483">
        <v>5.32</v>
      </c>
      <c r="K1228" s="480">
        <v>1800</v>
      </c>
      <c r="L1228" s="481">
        <v>3.44</v>
      </c>
      <c r="M1228" s="482">
        <v>3500</v>
      </c>
      <c r="N1228" s="483">
        <v>2.44</v>
      </c>
      <c r="O1228" s="513">
        <v>4000</v>
      </c>
      <c r="P1228" s="514">
        <v>6000</v>
      </c>
      <c r="Q1228" s="486">
        <v>6.22</v>
      </c>
      <c r="R1228" s="485">
        <v>2.37</v>
      </c>
      <c r="S1228" s="515">
        <v>11.9</v>
      </c>
      <c r="T1228" s="516">
        <v>92.7</v>
      </c>
      <c r="U1228" s="490">
        <v>10</v>
      </c>
      <c r="V1228" s="373"/>
      <c r="W1228" s="391" t="s">
        <v>537</v>
      </c>
    </row>
    <row r="1229" spans="1:23">
      <c r="A1229" s="476" t="s">
        <v>1700</v>
      </c>
      <c r="B1229" s="542">
        <v>29.5</v>
      </c>
      <c r="C1229" s="543">
        <v>58</v>
      </c>
      <c r="D1229" s="543">
        <v>6.45</v>
      </c>
      <c r="E1229" s="544">
        <v>9.5</v>
      </c>
      <c r="F1229" s="512"/>
      <c r="G1229" s="480"/>
      <c r="H1229" s="481"/>
      <c r="I1229" s="482"/>
      <c r="J1229" s="483">
        <v>3.53</v>
      </c>
      <c r="K1229" s="480">
        <v>3500</v>
      </c>
      <c r="L1229" s="481">
        <v>1.19</v>
      </c>
      <c r="M1229" s="482">
        <v>4500</v>
      </c>
      <c r="N1229" s="483">
        <v>1.19</v>
      </c>
      <c r="O1229" s="513">
        <v>4500</v>
      </c>
      <c r="P1229" s="514">
        <v>6000</v>
      </c>
      <c r="Q1229" s="486">
        <v>6.22</v>
      </c>
      <c r="R1229" s="485">
        <v>0.63</v>
      </c>
      <c r="S1229" s="515">
        <v>3.24</v>
      </c>
      <c r="T1229" s="516">
        <v>48.3</v>
      </c>
      <c r="U1229" s="490">
        <v>10</v>
      </c>
      <c r="V1229" s="373"/>
      <c r="W1229" s="391" t="s">
        <v>537</v>
      </c>
    </row>
    <row r="1230" spans="1:23">
      <c r="A1230" s="476" t="s">
        <v>1701</v>
      </c>
      <c r="B1230" s="542">
        <v>29.4</v>
      </c>
      <c r="C1230" s="543">
        <v>65.5</v>
      </c>
      <c r="D1230" s="543">
        <v>6.39</v>
      </c>
      <c r="E1230" s="544">
        <v>10.7</v>
      </c>
      <c r="F1230" s="512"/>
      <c r="G1230" s="480"/>
      <c r="H1230" s="481"/>
      <c r="I1230" s="482"/>
      <c r="J1230" s="483">
        <v>1.18</v>
      </c>
      <c r="K1230" s="480">
        <v>4500</v>
      </c>
      <c r="L1230" s="481">
        <v>1.18</v>
      </c>
      <c r="M1230" s="482">
        <v>4500</v>
      </c>
      <c r="N1230" s="483">
        <v>1.18</v>
      </c>
      <c r="O1230" s="513">
        <v>4500</v>
      </c>
      <c r="P1230" s="514">
        <v>6000</v>
      </c>
      <c r="Q1230" s="486">
        <v>6.22</v>
      </c>
      <c r="R1230" s="485">
        <v>0.51</v>
      </c>
      <c r="S1230" s="515">
        <v>2.5</v>
      </c>
      <c r="T1230" s="516">
        <v>42.4</v>
      </c>
      <c r="U1230" s="490">
        <v>10</v>
      </c>
      <c r="V1230" s="373"/>
      <c r="W1230" s="391" t="s">
        <v>537</v>
      </c>
    </row>
    <row r="1231" spans="1:23">
      <c r="A1231" s="476" t="s">
        <v>1702</v>
      </c>
      <c r="B1231" s="542">
        <v>41.8</v>
      </c>
      <c r="C1231" s="543">
        <v>33</v>
      </c>
      <c r="D1231" s="543">
        <v>8.6</v>
      </c>
      <c r="E1231" s="544">
        <v>5.29</v>
      </c>
      <c r="F1231" s="512"/>
      <c r="G1231" s="480"/>
      <c r="H1231" s="481"/>
      <c r="I1231" s="482"/>
      <c r="J1231" s="483"/>
      <c r="K1231" s="480"/>
      <c r="L1231" s="481">
        <v>4.0599999999999996</v>
      </c>
      <c r="M1231" s="482">
        <v>3000</v>
      </c>
      <c r="N1231" s="483">
        <v>2.12</v>
      </c>
      <c r="O1231" s="513">
        <v>3500</v>
      </c>
      <c r="P1231" s="514">
        <v>6000</v>
      </c>
      <c r="Q1231" s="486">
        <v>9.1199999999999992</v>
      </c>
      <c r="R1231" s="485">
        <v>2.12</v>
      </c>
      <c r="S1231" s="515">
        <v>11.4</v>
      </c>
      <c r="T1231" s="516">
        <v>112</v>
      </c>
      <c r="U1231" s="490">
        <v>10</v>
      </c>
      <c r="V1231" s="373"/>
      <c r="W1231" s="391" t="s">
        <v>537</v>
      </c>
    </row>
    <row r="1232" spans="1:23">
      <c r="A1232" s="476" t="s">
        <v>1703</v>
      </c>
      <c r="B1232" s="542">
        <v>42</v>
      </c>
      <c r="C1232" s="543">
        <v>59</v>
      </c>
      <c r="D1232" s="543">
        <v>8.68</v>
      </c>
      <c r="E1232" s="544">
        <v>9.43</v>
      </c>
      <c r="F1232" s="512"/>
      <c r="G1232" s="480"/>
      <c r="H1232" s="481"/>
      <c r="I1232" s="482"/>
      <c r="J1232" s="483">
        <v>4.09</v>
      </c>
      <c r="K1232" s="480">
        <v>3000</v>
      </c>
      <c r="L1232" s="481">
        <v>2.14</v>
      </c>
      <c r="M1232" s="482">
        <v>3500</v>
      </c>
      <c r="N1232" s="483">
        <v>2.14</v>
      </c>
      <c r="O1232" s="513">
        <v>3500</v>
      </c>
      <c r="P1232" s="514">
        <v>6000</v>
      </c>
      <c r="Q1232" s="486">
        <v>9.1199999999999992</v>
      </c>
      <c r="R1232" s="485">
        <v>0.71</v>
      </c>
      <c r="S1232" s="515">
        <v>3.64</v>
      </c>
      <c r="T1232" s="516">
        <v>63.9</v>
      </c>
      <c r="U1232" s="490">
        <v>10</v>
      </c>
      <c r="V1232" s="373"/>
      <c r="W1232" s="391" t="s">
        <v>537</v>
      </c>
    </row>
    <row r="1233" spans="1:23">
      <c r="A1233" s="476" t="s">
        <v>1704</v>
      </c>
      <c r="B1233" s="542">
        <v>41.7</v>
      </c>
      <c r="C1233" s="543">
        <v>95.5</v>
      </c>
      <c r="D1233" s="543">
        <v>8.49</v>
      </c>
      <c r="E1233" s="544">
        <v>15.2</v>
      </c>
      <c r="F1233" s="512"/>
      <c r="G1233" s="480"/>
      <c r="H1233" s="481"/>
      <c r="I1233" s="482"/>
      <c r="J1233" s="483">
        <v>2.09</v>
      </c>
      <c r="K1233" s="480">
        <v>3500</v>
      </c>
      <c r="L1233" s="481">
        <v>2.09</v>
      </c>
      <c r="M1233" s="482">
        <v>3500</v>
      </c>
      <c r="N1233" s="483">
        <v>2.09</v>
      </c>
      <c r="O1233" s="513">
        <v>3500</v>
      </c>
      <c r="P1233" s="514">
        <v>6000</v>
      </c>
      <c r="Q1233" s="486">
        <v>9.1199999999999992</v>
      </c>
      <c r="R1233" s="485">
        <v>0.3</v>
      </c>
      <c r="S1233" s="515">
        <v>1.3</v>
      </c>
      <c r="T1233" s="516">
        <v>38.4</v>
      </c>
      <c r="U1233" s="490">
        <v>10</v>
      </c>
      <c r="V1233" s="373"/>
      <c r="W1233" s="391" t="s">
        <v>537</v>
      </c>
    </row>
    <row r="1234" spans="1:23">
      <c r="A1234" s="476" t="s">
        <v>1705</v>
      </c>
      <c r="B1234" s="542">
        <v>53.3</v>
      </c>
      <c r="C1234" s="543">
        <v>27.5</v>
      </c>
      <c r="D1234" s="543">
        <v>10.5</v>
      </c>
      <c r="E1234" s="544">
        <v>4.12</v>
      </c>
      <c r="F1234" s="512"/>
      <c r="G1234" s="480"/>
      <c r="H1234" s="481"/>
      <c r="I1234" s="482"/>
      <c r="J1234" s="483">
        <v>9.31</v>
      </c>
      <c r="K1234" s="480">
        <v>1000</v>
      </c>
      <c r="L1234" s="481">
        <v>7.62</v>
      </c>
      <c r="M1234" s="482">
        <v>1800</v>
      </c>
      <c r="N1234" s="483">
        <v>7.09</v>
      </c>
      <c r="O1234" s="513">
        <v>2000</v>
      </c>
      <c r="P1234" s="514">
        <v>6000</v>
      </c>
      <c r="Q1234" s="486">
        <v>11.92</v>
      </c>
      <c r="R1234" s="485">
        <v>3.22</v>
      </c>
      <c r="S1234" s="515">
        <v>18.3</v>
      </c>
      <c r="T1234" s="516">
        <v>166</v>
      </c>
      <c r="U1234" s="490">
        <v>10</v>
      </c>
      <c r="V1234" s="373"/>
      <c r="W1234" s="391" t="s">
        <v>537</v>
      </c>
    </row>
    <row r="1235" spans="1:23">
      <c r="A1235" s="476" t="s">
        <v>1706</v>
      </c>
      <c r="B1235" s="542">
        <v>53.3</v>
      </c>
      <c r="C1235" s="543">
        <v>62.5</v>
      </c>
      <c r="D1235" s="543">
        <v>10.4</v>
      </c>
      <c r="E1235" s="544">
        <v>9.2899999999999991</v>
      </c>
      <c r="F1235" s="512"/>
      <c r="G1235" s="480"/>
      <c r="H1235" s="481"/>
      <c r="I1235" s="482"/>
      <c r="J1235" s="483">
        <v>5.13</v>
      </c>
      <c r="K1235" s="480">
        <v>2500</v>
      </c>
      <c r="L1235" s="481">
        <v>2.4700000000000002</v>
      </c>
      <c r="M1235" s="482">
        <v>3000</v>
      </c>
      <c r="N1235" s="483">
        <v>2.4700000000000002</v>
      </c>
      <c r="O1235" s="513">
        <v>3000</v>
      </c>
      <c r="P1235" s="514">
        <v>6000</v>
      </c>
      <c r="Q1235" s="486">
        <v>11.92</v>
      </c>
      <c r="R1235" s="485">
        <v>0.67</v>
      </c>
      <c r="S1235" s="515">
        <v>3.5</v>
      </c>
      <c r="T1235" s="516">
        <v>72.900000000000006</v>
      </c>
      <c r="U1235" s="490">
        <v>10</v>
      </c>
      <c r="V1235" s="373"/>
      <c r="W1235" s="391" t="s">
        <v>537</v>
      </c>
    </row>
    <row r="1236" spans="1:23">
      <c r="A1236" s="476" t="s">
        <v>1707</v>
      </c>
      <c r="B1236" s="542">
        <v>55.1</v>
      </c>
      <c r="C1236" s="543">
        <v>98</v>
      </c>
      <c r="D1236" s="543">
        <v>10.6</v>
      </c>
      <c r="E1236" s="544">
        <v>14.5</v>
      </c>
      <c r="F1236" s="512"/>
      <c r="G1236" s="480"/>
      <c r="H1236" s="481"/>
      <c r="I1236" s="482"/>
      <c r="J1236" s="483">
        <v>2.52</v>
      </c>
      <c r="K1236" s="480">
        <v>3000</v>
      </c>
      <c r="L1236" s="481">
        <v>2.52</v>
      </c>
      <c r="M1236" s="482">
        <v>3000</v>
      </c>
      <c r="N1236" s="483">
        <v>2.52</v>
      </c>
      <c r="O1236" s="513">
        <v>3000</v>
      </c>
      <c r="P1236" s="514">
        <v>6000</v>
      </c>
      <c r="Q1236" s="486">
        <v>11.92</v>
      </c>
      <c r="R1236" s="485">
        <v>0.32</v>
      </c>
      <c r="S1236" s="515">
        <v>1.5</v>
      </c>
      <c r="T1236" s="516">
        <v>47.3</v>
      </c>
      <c r="U1236" s="490">
        <v>10</v>
      </c>
      <c r="V1236" s="373"/>
      <c r="W1236" s="391" t="s">
        <v>537</v>
      </c>
    </row>
    <row r="1237" spans="1:23">
      <c r="A1237" s="476" t="s">
        <v>1708</v>
      </c>
      <c r="B1237" s="542">
        <v>39.799999999999997</v>
      </c>
      <c r="C1237" s="543">
        <v>27.1</v>
      </c>
      <c r="D1237" s="543">
        <v>10.6</v>
      </c>
      <c r="E1237" s="544">
        <v>5.3</v>
      </c>
      <c r="F1237" s="512"/>
      <c r="G1237" s="480"/>
      <c r="H1237" s="481"/>
      <c r="I1237" s="482"/>
      <c r="J1237" s="483">
        <v>10.5</v>
      </c>
      <c r="K1237" s="480">
        <v>1000</v>
      </c>
      <c r="L1237" s="481">
        <v>9.93</v>
      </c>
      <c r="M1237" s="482">
        <v>1800</v>
      </c>
      <c r="N1237" s="483">
        <v>9.86</v>
      </c>
      <c r="O1237" s="513">
        <v>2000</v>
      </c>
      <c r="P1237" s="514">
        <v>6000</v>
      </c>
      <c r="Q1237" s="486">
        <v>16.899999999999999</v>
      </c>
      <c r="R1237" s="485">
        <v>3.32</v>
      </c>
      <c r="S1237" s="515">
        <v>25.4</v>
      </c>
      <c r="T1237" s="516">
        <v>142.1</v>
      </c>
      <c r="U1237" s="490">
        <v>10</v>
      </c>
      <c r="V1237" s="373"/>
      <c r="W1237" s="391" t="s">
        <v>537</v>
      </c>
    </row>
    <row r="1238" spans="1:23">
      <c r="A1238" s="476" t="s">
        <v>1709</v>
      </c>
      <c r="B1238" s="542">
        <v>40.1</v>
      </c>
      <c r="C1238" s="543">
        <v>60</v>
      </c>
      <c r="D1238" s="543">
        <v>10.8</v>
      </c>
      <c r="E1238" s="544">
        <v>11.9</v>
      </c>
      <c r="F1238" s="512"/>
      <c r="G1238" s="480"/>
      <c r="H1238" s="481"/>
      <c r="I1238" s="482"/>
      <c r="J1238" s="483">
        <v>9.6</v>
      </c>
      <c r="K1238" s="480">
        <v>2500</v>
      </c>
      <c r="L1238" s="481">
        <v>4.95</v>
      </c>
      <c r="M1238" s="482">
        <v>5000</v>
      </c>
      <c r="N1238" s="483">
        <v>3.31</v>
      </c>
      <c r="O1238" s="513">
        <v>5500</v>
      </c>
      <c r="P1238" s="514">
        <v>6000</v>
      </c>
      <c r="Q1238" s="486">
        <v>16.899999999999999</v>
      </c>
      <c r="R1238" s="485">
        <v>0.75700000000000001</v>
      </c>
      <c r="S1238" s="515">
        <v>5.4</v>
      </c>
      <c r="T1238" s="516">
        <v>65.5</v>
      </c>
      <c r="U1238" s="490">
        <v>10</v>
      </c>
      <c r="V1238" s="373"/>
      <c r="W1238" s="391" t="s">
        <v>537</v>
      </c>
    </row>
    <row r="1239" spans="1:23">
      <c r="A1239" s="476" t="s">
        <v>1710</v>
      </c>
      <c r="B1239" s="542">
        <v>40.200000000000003</v>
      </c>
      <c r="C1239" s="543">
        <v>67</v>
      </c>
      <c r="D1239" s="543">
        <v>10.9</v>
      </c>
      <c r="E1239" s="544">
        <v>13.1</v>
      </c>
      <c r="F1239" s="512"/>
      <c r="G1239" s="480"/>
      <c r="H1239" s="481"/>
      <c r="I1239" s="482"/>
      <c r="J1239" s="483">
        <v>9.1</v>
      </c>
      <c r="K1239" s="480">
        <v>3000</v>
      </c>
      <c r="L1239" s="481">
        <v>3.33</v>
      </c>
      <c r="M1239" s="482">
        <v>5500</v>
      </c>
      <c r="N1239" s="483">
        <v>3.33</v>
      </c>
      <c r="O1239" s="513">
        <v>5500</v>
      </c>
      <c r="P1239" s="514">
        <v>6000</v>
      </c>
      <c r="Q1239" s="486">
        <v>16.899999999999999</v>
      </c>
      <c r="R1239" s="485">
        <v>0.58699999999999997</v>
      </c>
      <c r="S1239" s="515">
        <v>4.4000000000000004</v>
      </c>
      <c r="T1239" s="516">
        <v>58.8</v>
      </c>
      <c r="U1239" s="490">
        <v>10</v>
      </c>
      <c r="V1239" s="373"/>
      <c r="W1239" s="391" t="s">
        <v>537</v>
      </c>
    </row>
    <row r="1240" spans="1:23">
      <c r="A1240" s="476" t="s">
        <v>1711</v>
      </c>
      <c r="B1240" s="542">
        <v>57.9</v>
      </c>
      <c r="C1240" s="543">
        <v>28</v>
      </c>
      <c r="D1240" s="543">
        <v>14.6</v>
      </c>
      <c r="E1240" s="544">
        <v>5.2</v>
      </c>
      <c r="F1240" s="512"/>
      <c r="G1240" s="480"/>
      <c r="H1240" s="481"/>
      <c r="I1240" s="482"/>
      <c r="J1240" s="483"/>
      <c r="K1240" s="480"/>
      <c r="L1240" s="481">
        <v>13.6</v>
      </c>
      <c r="M1240" s="482">
        <v>1500</v>
      </c>
      <c r="N1240" s="483">
        <v>13.2</v>
      </c>
      <c r="O1240" s="513">
        <v>1800</v>
      </c>
      <c r="P1240" s="514">
        <v>6000</v>
      </c>
      <c r="Q1240" s="486">
        <v>24.2</v>
      </c>
      <c r="R1240" s="485">
        <v>3.45</v>
      </c>
      <c r="S1240" s="515">
        <v>28.1</v>
      </c>
      <c r="T1240" s="516">
        <v>194.5</v>
      </c>
      <c r="U1240" s="490">
        <v>10</v>
      </c>
      <c r="V1240" s="373"/>
      <c r="W1240" s="391" t="s">
        <v>537</v>
      </c>
    </row>
    <row r="1241" spans="1:23">
      <c r="A1241" s="476" t="s">
        <v>1712</v>
      </c>
      <c r="B1241" s="542">
        <v>58.4</v>
      </c>
      <c r="C1241" s="543">
        <v>55.4</v>
      </c>
      <c r="D1241" s="543">
        <v>14.8</v>
      </c>
      <c r="E1241" s="544">
        <v>10.6</v>
      </c>
      <c r="F1241" s="512"/>
      <c r="G1241" s="480"/>
      <c r="H1241" s="481"/>
      <c r="I1241" s="482"/>
      <c r="J1241" s="483">
        <v>13.4</v>
      </c>
      <c r="K1241" s="480">
        <v>1800</v>
      </c>
      <c r="L1241" s="481">
        <v>11.1</v>
      </c>
      <c r="M1241" s="482">
        <v>3000</v>
      </c>
      <c r="N1241" s="483">
        <v>9.6</v>
      </c>
      <c r="O1241" s="513">
        <v>3500</v>
      </c>
      <c r="P1241" s="514">
        <v>6000</v>
      </c>
      <c r="Q1241" s="486">
        <v>24.2</v>
      </c>
      <c r="R1241" s="485">
        <v>0.95699999999999996</v>
      </c>
      <c r="S1241" s="515">
        <v>7.4</v>
      </c>
      <c r="T1241" s="516">
        <v>98.2</v>
      </c>
      <c r="U1241" s="490">
        <v>10</v>
      </c>
      <c r="V1241" s="373"/>
      <c r="W1241" s="391" t="s">
        <v>537</v>
      </c>
    </row>
    <row r="1242" spans="1:23">
      <c r="A1242" s="476" t="s">
        <v>1713</v>
      </c>
      <c r="B1242" s="542">
        <v>58.8</v>
      </c>
      <c r="C1242" s="543">
        <v>69</v>
      </c>
      <c r="D1242" s="543">
        <v>15</v>
      </c>
      <c r="E1242" s="544">
        <v>13</v>
      </c>
      <c r="F1242" s="512"/>
      <c r="G1242" s="480"/>
      <c r="H1242" s="481"/>
      <c r="I1242" s="482"/>
      <c r="J1242" s="483">
        <v>13.3</v>
      </c>
      <c r="K1242" s="480">
        <v>2000</v>
      </c>
      <c r="L1242" s="481">
        <v>7.9</v>
      </c>
      <c r="M1242" s="482">
        <v>4000</v>
      </c>
      <c r="N1242" s="483">
        <v>5.7</v>
      </c>
      <c r="O1242" s="513">
        <v>4500</v>
      </c>
      <c r="P1242" s="514">
        <v>6000</v>
      </c>
      <c r="Q1242" s="486">
        <v>24.2</v>
      </c>
      <c r="R1242" s="485">
        <v>0.627</v>
      </c>
      <c r="S1242" s="515">
        <v>4.9000000000000004</v>
      </c>
      <c r="T1242" s="516">
        <v>79.900000000000006</v>
      </c>
      <c r="U1242" s="490">
        <v>10</v>
      </c>
      <c r="V1242" s="373"/>
      <c r="W1242" s="391" t="s">
        <v>537</v>
      </c>
    </row>
    <row r="1243" spans="1:23">
      <c r="A1243" s="476" t="s">
        <v>1714</v>
      </c>
      <c r="B1243" s="542">
        <v>75.099999999999994</v>
      </c>
      <c r="C1243" s="543">
        <v>46</v>
      </c>
      <c r="D1243" s="543">
        <v>18.7</v>
      </c>
      <c r="E1243" s="544">
        <v>8.6999999999999993</v>
      </c>
      <c r="F1243" s="512"/>
      <c r="G1243" s="480"/>
      <c r="H1243" s="481"/>
      <c r="I1243" s="482"/>
      <c r="J1243" s="483">
        <v>17.100000000000001</v>
      </c>
      <c r="K1243" s="480">
        <v>1200</v>
      </c>
      <c r="L1243" s="481">
        <v>15.6</v>
      </c>
      <c r="M1243" s="482">
        <v>2000</v>
      </c>
      <c r="N1243" s="483">
        <v>14.2</v>
      </c>
      <c r="O1243" s="513">
        <v>2500</v>
      </c>
      <c r="P1243" s="514">
        <v>6000</v>
      </c>
      <c r="Q1243" s="486">
        <v>31.6</v>
      </c>
      <c r="R1243" s="485">
        <v>1.43</v>
      </c>
      <c r="S1243" s="515">
        <v>11.8</v>
      </c>
      <c r="T1243" s="516">
        <v>147</v>
      </c>
      <c r="U1243" s="490">
        <v>10</v>
      </c>
      <c r="V1243" s="373"/>
      <c r="W1243" s="391" t="s">
        <v>537</v>
      </c>
    </row>
    <row r="1244" spans="1:23">
      <c r="A1244" s="476" t="s">
        <v>1715</v>
      </c>
      <c r="B1244" s="542">
        <v>75.599999999999994</v>
      </c>
      <c r="C1244" s="543">
        <v>64</v>
      </c>
      <c r="D1244" s="543">
        <v>19</v>
      </c>
      <c r="E1244" s="544">
        <v>12.1</v>
      </c>
      <c r="F1244" s="512"/>
      <c r="G1244" s="480"/>
      <c r="H1244" s="481"/>
      <c r="I1244" s="482"/>
      <c r="J1244" s="483">
        <v>16.8</v>
      </c>
      <c r="K1244" s="480">
        <v>1500</v>
      </c>
      <c r="L1244" s="481">
        <v>12.5</v>
      </c>
      <c r="M1244" s="482">
        <v>3000</v>
      </c>
      <c r="N1244" s="483">
        <v>10</v>
      </c>
      <c r="O1244" s="513">
        <v>3500</v>
      </c>
      <c r="P1244" s="514">
        <v>6000</v>
      </c>
      <c r="Q1244" s="486">
        <v>31.6</v>
      </c>
      <c r="R1244" s="485">
        <v>0.76700000000000002</v>
      </c>
      <c r="S1244" s="515">
        <v>6.2</v>
      </c>
      <c r="T1244" s="516">
        <v>107</v>
      </c>
      <c r="U1244" s="490">
        <v>10</v>
      </c>
      <c r="V1244" s="373"/>
      <c r="W1244" s="391" t="s">
        <v>537</v>
      </c>
    </row>
    <row r="1245" spans="1:23">
      <c r="A1245" s="476" t="s">
        <v>1716</v>
      </c>
      <c r="B1245" s="542">
        <v>91.4</v>
      </c>
      <c r="C1245" s="543">
        <v>49</v>
      </c>
      <c r="D1245" s="543">
        <v>21.9</v>
      </c>
      <c r="E1245" s="544">
        <v>9.1</v>
      </c>
      <c r="F1245" s="512"/>
      <c r="G1245" s="480"/>
      <c r="H1245" s="481"/>
      <c r="I1245" s="482"/>
      <c r="J1245" s="483">
        <v>20.100000000000001</v>
      </c>
      <c r="K1245" s="480">
        <v>1000</v>
      </c>
      <c r="L1245" s="481">
        <v>17.7</v>
      </c>
      <c r="M1245" s="482">
        <v>2000</v>
      </c>
      <c r="N1245" s="483">
        <v>17.100000000000001</v>
      </c>
      <c r="O1245" s="513">
        <v>2200</v>
      </c>
      <c r="P1245" s="514">
        <v>6000</v>
      </c>
      <c r="Q1245" s="486">
        <v>40</v>
      </c>
      <c r="R1245" s="485">
        <v>1.35</v>
      </c>
      <c r="S1245" s="515">
        <v>11.4</v>
      </c>
      <c r="T1245" s="516">
        <v>164</v>
      </c>
      <c r="U1245" s="490">
        <v>10</v>
      </c>
      <c r="V1245" s="373"/>
      <c r="W1245" s="391" t="s">
        <v>537</v>
      </c>
    </row>
    <row r="1246" spans="1:23">
      <c r="A1246" s="476" t="s">
        <v>1717</v>
      </c>
      <c r="B1246" s="542">
        <v>92</v>
      </c>
      <c r="C1246" s="543">
        <v>61</v>
      </c>
      <c r="D1246" s="543">
        <v>22.2</v>
      </c>
      <c r="E1246" s="544">
        <v>11.1</v>
      </c>
      <c r="F1246" s="512"/>
      <c r="G1246" s="480"/>
      <c r="H1246" s="481"/>
      <c r="I1246" s="482"/>
      <c r="J1246" s="483">
        <v>19.7</v>
      </c>
      <c r="K1246" s="480">
        <v>1300</v>
      </c>
      <c r="L1246" s="481">
        <v>16</v>
      </c>
      <c r="M1246" s="482">
        <v>2500</v>
      </c>
      <c r="N1246" s="483">
        <v>14.5</v>
      </c>
      <c r="O1246" s="513">
        <v>2800</v>
      </c>
      <c r="P1246" s="514">
        <v>6000</v>
      </c>
      <c r="Q1246" s="486">
        <v>40</v>
      </c>
      <c r="R1246" s="485">
        <v>1.07</v>
      </c>
      <c r="S1246" s="515">
        <v>7.6</v>
      </c>
      <c r="T1246" s="516">
        <v>133</v>
      </c>
      <c r="U1246" s="490">
        <v>10</v>
      </c>
      <c r="V1246" s="373"/>
      <c r="W1246" s="391" t="s">
        <v>537</v>
      </c>
    </row>
    <row r="1247" spans="1:23" ht="13.5" thickBot="1">
      <c r="A1247" s="569" t="s">
        <v>1718</v>
      </c>
      <c r="B1247" s="545">
        <v>92</v>
      </c>
      <c r="C1247" s="510">
        <v>68</v>
      </c>
      <c r="D1247" s="510">
        <v>22.2</v>
      </c>
      <c r="E1247" s="511">
        <v>12.6</v>
      </c>
      <c r="F1247" s="517"/>
      <c r="G1247" s="518"/>
      <c r="H1247" s="519"/>
      <c r="I1247" s="520"/>
      <c r="J1247" s="521">
        <v>19.399999999999999</v>
      </c>
      <c r="K1247" s="518">
        <v>1500</v>
      </c>
      <c r="L1247" s="519">
        <v>16.100000000000001</v>
      </c>
      <c r="M1247" s="520">
        <v>2500</v>
      </c>
      <c r="N1247" s="521">
        <v>13.5</v>
      </c>
      <c r="O1247" s="522">
        <v>3000</v>
      </c>
      <c r="P1247" s="523">
        <v>6000</v>
      </c>
      <c r="Q1247" s="419">
        <v>40</v>
      </c>
      <c r="R1247" s="418">
        <v>0.747</v>
      </c>
      <c r="S1247" s="524">
        <v>6.1</v>
      </c>
      <c r="T1247" s="525">
        <v>119</v>
      </c>
      <c r="U1247" s="423">
        <v>10</v>
      </c>
      <c r="V1247" s="373"/>
      <c r="W1247" s="391" t="s">
        <v>537</v>
      </c>
    </row>
    <row r="1248" spans="1:23">
      <c r="A1248" s="570" t="s">
        <v>1719</v>
      </c>
      <c r="B1248" s="571">
        <v>1.66</v>
      </c>
      <c r="C1248" s="572">
        <v>6</v>
      </c>
      <c r="D1248" s="572">
        <v>0.48</v>
      </c>
      <c r="E1248" s="573">
        <v>1.49</v>
      </c>
      <c r="F1248" s="574"/>
      <c r="G1248" s="575"/>
      <c r="H1248" s="576">
        <v>0.44</v>
      </c>
      <c r="I1248" s="577">
        <v>3500</v>
      </c>
      <c r="J1248" s="578">
        <v>0.41</v>
      </c>
      <c r="K1248" s="575">
        <v>6000</v>
      </c>
      <c r="L1248" s="576"/>
      <c r="M1248" s="577"/>
      <c r="N1248" s="578"/>
      <c r="O1248" s="579"/>
      <c r="P1248" s="580">
        <v>6000</v>
      </c>
      <c r="Q1248" s="581">
        <v>0.42899999999999999</v>
      </c>
      <c r="R1248" s="582">
        <v>10.4</v>
      </c>
      <c r="S1248" s="583">
        <v>12.1</v>
      </c>
      <c r="T1248" s="584">
        <v>20.8</v>
      </c>
      <c r="U1248" s="585">
        <v>6</v>
      </c>
      <c r="V1248" s="586"/>
      <c r="W1248" s="587" t="s">
        <v>537</v>
      </c>
    </row>
    <row r="1249" spans="1:23">
      <c r="A1249" s="570" t="s">
        <v>1720</v>
      </c>
      <c r="B1249" s="588">
        <v>1.65</v>
      </c>
      <c r="C1249" s="589">
        <v>12</v>
      </c>
      <c r="D1249" s="589">
        <v>0.47</v>
      </c>
      <c r="E1249" s="590">
        <v>2.99</v>
      </c>
      <c r="F1249" s="591">
        <v>0.44</v>
      </c>
      <c r="G1249" s="592">
        <v>3000</v>
      </c>
      <c r="H1249" s="593">
        <v>0.41</v>
      </c>
      <c r="I1249" s="594">
        <v>6000</v>
      </c>
      <c r="J1249" s="595"/>
      <c r="K1249" s="592"/>
      <c r="L1249" s="593"/>
      <c r="M1249" s="594"/>
      <c r="N1249" s="595"/>
      <c r="O1249" s="596"/>
      <c r="P1249" s="597">
        <v>6000</v>
      </c>
      <c r="Q1249" s="598">
        <v>0.42899999999999999</v>
      </c>
      <c r="R1249" s="599">
        <v>2.6</v>
      </c>
      <c r="S1249" s="600">
        <v>3</v>
      </c>
      <c r="T1249" s="601">
        <v>10.4</v>
      </c>
      <c r="U1249" s="602">
        <v>6</v>
      </c>
      <c r="V1249" s="586"/>
      <c r="W1249" s="587" t="s">
        <v>537</v>
      </c>
    </row>
    <row r="1250" spans="1:23">
      <c r="A1250" s="570" t="s">
        <v>1721</v>
      </c>
      <c r="B1250" s="588">
        <v>2.91</v>
      </c>
      <c r="C1250" s="589">
        <v>6.8</v>
      </c>
      <c r="D1250" s="589">
        <v>0.81</v>
      </c>
      <c r="E1250" s="590">
        <v>1.69</v>
      </c>
      <c r="F1250" s="591"/>
      <c r="G1250" s="592"/>
      <c r="H1250" s="593">
        <v>0.69</v>
      </c>
      <c r="I1250" s="594">
        <v>2500</v>
      </c>
      <c r="J1250" s="595">
        <v>0.51</v>
      </c>
      <c r="K1250" s="592">
        <v>6000</v>
      </c>
      <c r="L1250" s="593"/>
      <c r="M1250" s="594"/>
      <c r="N1250" s="595"/>
      <c r="O1250" s="596"/>
      <c r="P1250" s="597">
        <v>6000</v>
      </c>
      <c r="Q1250" s="598">
        <v>0.63300000000000001</v>
      </c>
      <c r="R1250" s="599">
        <v>8.8000000000000007</v>
      </c>
      <c r="S1250" s="600">
        <v>12.1</v>
      </c>
      <c r="T1250" s="601">
        <v>31.2</v>
      </c>
      <c r="U1250" s="602">
        <v>6</v>
      </c>
      <c r="V1250" s="586"/>
      <c r="W1250" s="587" t="s">
        <v>537</v>
      </c>
    </row>
    <row r="1251" spans="1:23">
      <c r="A1251" s="570" t="s">
        <v>1722</v>
      </c>
      <c r="B1251" s="588">
        <v>2.94</v>
      </c>
      <c r="C1251" s="589">
        <v>13.3</v>
      </c>
      <c r="D1251" s="589">
        <v>0.83</v>
      </c>
      <c r="E1251" s="590">
        <v>3.34</v>
      </c>
      <c r="F1251" s="591">
        <v>0.73</v>
      </c>
      <c r="G1251" s="592">
        <v>2000</v>
      </c>
      <c r="H1251" s="593">
        <v>0.52</v>
      </c>
      <c r="I1251" s="594">
        <v>6000</v>
      </c>
      <c r="J1251" s="595"/>
      <c r="K1251" s="592"/>
      <c r="L1251" s="593"/>
      <c r="M1251" s="594"/>
      <c r="N1251" s="595"/>
      <c r="O1251" s="596"/>
      <c r="P1251" s="597">
        <v>6000</v>
      </c>
      <c r="Q1251" s="598">
        <v>0.63300000000000001</v>
      </c>
      <c r="R1251" s="599">
        <v>2.2999999999999998</v>
      </c>
      <c r="S1251" s="600">
        <v>3.2</v>
      </c>
      <c r="T1251" s="601">
        <v>16.100000000000001</v>
      </c>
      <c r="U1251" s="602">
        <v>6</v>
      </c>
      <c r="V1251" s="586"/>
      <c r="W1251" s="587" t="s">
        <v>537</v>
      </c>
    </row>
    <row r="1252" spans="1:23">
      <c r="A1252" s="570" t="s">
        <v>1723</v>
      </c>
      <c r="B1252" s="588">
        <v>4.2</v>
      </c>
      <c r="C1252" s="589">
        <v>9.8000000000000007</v>
      </c>
      <c r="D1252" s="589">
        <v>1.18</v>
      </c>
      <c r="E1252" s="590">
        <v>2.4500000000000002</v>
      </c>
      <c r="F1252" s="591"/>
      <c r="G1252" s="592"/>
      <c r="H1252" s="593">
        <v>0.94</v>
      </c>
      <c r="I1252" s="594">
        <v>3000</v>
      </c>
      <c r="J1252" s="595">
        <v>0.6</v>
      </c>
      <c r="K1252" s="592">
        <v>6000</v>
      </c>
      <c r="L1252" s="593"/>
      <c r="M1252" s="594"/>
      <c r="N1252" s="595"/>
      <c r="O1252" s="596"/>
      <c r="P1252" s="597">
        <v>6000</v>
      </c>
      <c r="Q1252" s="598">
        <v>0.81899999999999995</v>
      </c>
      <c r="R1252" s="599">
        <v>4.7</v>
      </c>
      <c r="S1252" s="600">
        <v>7.7</v>
      </c>
      <c r="T1252" s="601">
        <v>31.2</v>
      </c>
      <c r="U1252" s="602">
        <v>6</v>
      </c>
      <c r="V1252" s="586"/>
      <c r="W1252" s="587" t="s">
        <v>537</v>
      </c>
    </row>
    <row r="1253" spans="1:23">
      <c r="A1253" s="570" t="s">
        <v>1724</v>
      </c>
      <c r="B1253" s="588">
        <v>4.2</v>
      </c>
      <c r="C1253" s="589">
        <v>19.600000000000001</v>
      </c>
      <c r="D1253" s="589">
        <v>1.18</v>
      </c>
      <c r="E1253" s="590">
        <v>4.91</v>
      </c>
      <c r="F1253" s="591">
        <v>1</v>
      </c>
      <c r="G1253" s="592">
        <v>2500</v>
      </c>
      <c r="H1253" s="593">
        <v>0.6</v>
      </c>
      <c r="I1253" s="594">
        <v>6000</v>
      </c>
      <c r="J1253" s="595"/>
      <c r="K1253" s="592"/>
      <c r="L1253" s="593"/>
      <c r="M1253" s="594"/>
      <c r="N1253" s="595"/>
      <c r="O1253" s="596"/>
      <c r="P1253" s="597">
        <v>6000</v>
      </c>
      <c r="Q1253" s="598">
        <v>0.81899999999999995</v>
      </c>
      <c r="R1253" s="599">
        <v>1.2</v>
      </c>
      <c r="S1253" s="600">
        <v>1.9</v>
      </c>
      <c r="T1253" s="601">
        <v>15.6</v>
      </c>
      <c r="U1253" s="602">
        <v>6</v>
      </c>
      <c r="V1253" s="586"/>
      <c r="W1253" s="587" t="s">
        <v>537</v>
      </c>
    </row>
    <row r="1254" spans="1:23">
      <c r="A1254" s="570" t="s">
        <v>1725</v>
      </c>
      <c r="B1254" s="588">
        <v>6.4</v>
      </c>
      <c r="C1254" s="589">
        <v>11.3</v>
      </c>
      <c r="D1254" s="589">
        <v>1.96</v>
      </c>
      <c r="E1254" s="590">
        <v>2.84</v>
      </c>
      <c r="F1254" s="591"/>
      <c r="G1254" s="592"/>
      <c r="H1254" s="593">
        <v>1.8</v>
      </c>
      <c r="I1254" s="594">
        <v>2000</v>
      </c>
      <c r="J1254" s="595">
        <v>1.63</v>
      </c>
      <c r="K1254" s="592">
        <v>4000</v>
      </c>
      <c r="L1254" s="593"/>
      <c r="M1254" s="594"/>
      <c r="N1254" s="595"/>
      <c r="O1254" s="596"/>
      <c r="P1254" s="597">
        <v>6000</v>
      </c>
      <c r="Q1254" s="598">
        <v>1.79</v>
      </c>
      <c r="R1254" s="599">
        <v>4.3</v>
      </c>
      <c r="S1254" s="600">
        <v>11.7</v>
      </c>
      <c r="T1254" s="601">
        <v>45.9</v>
      </c>
      <c r="U1254" s="602">
        <v>6</v>
      </c>
      <c r="V1254" s="586"/>
      <c r="W1254" s="603" t="s">
        <v>537</v>
      </c>
    </row>
    <row r="1255" spans="1:23">
      <c r="A1255" s="570" t="s">
        <v>1726</v>
      </c>
      <c r="B1255" s="588">
        <v>6.4</v>
      </c>
      <c r="C1255" s="589">
        <v>22.9</v>
      </c>
      <c r="D1255" s="589">
        <v>1.95</v>
      </c>
      <c r="E1255" s="590">
        <v>5.72</v>
      </c>
      <c r="F1255" s="591">
        <v>1.82</v>
      </c>
      <c r="G1255" s="592">
        <v>1750</v>
      </c>
      <c r="H1255" s="593">
        <v>1.62</v>
      </c>
      <c r="I1255" s="594">
        <v>4000</v>
      </c>
      <c r="J1255" s="595"/>
      <c r="K1255" s="592"/>
      <c r="L1255" s="593"/>
      <c r="M1255" s="594"/>
      <c r="N1255" s="595"/>
      <c r="O1255" s="596"/>
      <c r="P1255" s="597">
        <v>6000</v>
      </c>
      <c r="Q1255" s="598">
        <v>1.79</v>
      </c>
      <c r="R1255" s="599">
        <v>1.1000000000000001</v>
      </c>
      <c r="S1255" s="600">
        <v>2.8</v>
      </c>
      <c r="T1255" s="601">
        <v>22.6</v>
      </c>
      <c r="U1255" s="602">
        <v>6</v>
      </c>
      <c r="V1255" s="586"/>
      <c r="W1255" s="603" t="s">
        <v>537</v>
      </c>
    </row>
    <row r="1256" spans="1:23">
      <c r="A1256" s="570" t="s">
        <v>1727</v>
      </c>
      <c r="B1256" s="588">
        <v>12</v>
      </c>
      <c r="C1256" s="589">
        <v>21.1</v>
      </c>
      <c r="D1256" s="589">
        <v>3.55</v>
      </c>
      <c r="E1256" s="590">
        <v>5.26</v>
      </c>
      <c r="F1256" s="591"/>
      <c r="G1256" s="592"/>
      <c r="H1256" s="593">
        <v>3.26</v>
      </c>
      <c r="I1256" s="594">
        <v>2000</v>
      </c>
      <c r="J1256" s="595">
        <v>2.86</v>
      </c>
      <c r="K1256" s="592">
        <v>4500</v>
      </c>
      <c r="L1256" s="593"/>
      <c r="M1256" s="594"/>
      <c r="N1256" s="595"/>
      <c r="O1256" s="596"/>
      <c r="P1256" s="597">
        <v>6000</v>
      </c>
      <c r="Q1256" s="598">
        <v>3.37</v>
      </c>
      <c r="R1256" s="599">
        <v>1.6</v>
      </c>
      <c r="S1256" s="600">
        <v>5</v>
      </c>
      <c r="T1256" s="601">
        <v>45.2</v>
      </c>
      <c r="U1256" s="602">
        <v>6</v>
      </c>
      <c r="V1256" s="586"/>
      <c r="W1256" s="587" t="s">
        <v>537</v>
      </c>
    </row>
    <row r="1257" spans="1:23">
      <c r="A1257" s="570" t="s">
        <v>1728</v>
      </c>
      <c r="B1257" s="588">
        <v>11.9</v>
      </c>
      <c r="C1257" s="589">
        <v>33.700000000000003</v>
      </c>
      <c r="D1257" s="589">
        <v>3.51</v>
      </c>
      <c r="E1257" s="590">
        <v>8.43</v>
      </c>
      <c r="F1257" s="591">
        <v>3.32</v>
      </c>
      <c r="G1257" s="592">
        <v>1500</v>
      </c>
      <c r="H1257" s="593">
        <v>3</v>
      </c>
      <c r="I1257" s="594">
        <v>3500</v>
      </c>
      <c r="J1257" s="595"/>
      <c r="K1257" s="592"/>
      <c r="L1257" s="593"/>
      <c r="M1257" s="594"/>
      <c r="N1257" s="595"/>
      <c r="O1257" s="596"/>
      <c r="P1257" s="597">
        <v>6000</v>
      </c>
      <c r="Q1257" s="598">
        <v>3.37</v>
      </c>
      <c r="R1257" s="599">
        <v>0.7</v>
      </c>
      <c r="S1257" s="600">
        <v>1.9</v>
      </c>
      <c r="T1257" s="601">
        <v>27.9</v>
      </c>
      <c r="U1257" s="602">
        <v>6</v>
      </c>
      <c r="V1257" s="586"/>
      <c r="W1257" s="587" t="s">
        <v>537</v>
      </c>
    </row>
    <row r="1258" spans="1:23">
      <c r="A1258" s="570" t="s">
        <v>1729</v>
      </c>
      <c r="B1258" s="588">
        <v>15.9</v>
      </c>
      <c r="C1258" s="589">
        <v>28.9</v>
      </c>
      <c r="D1258" s="589">
        <v>4.53</v>
      </c>
      <c r="E1258" s="590">
        <v>7.23</v>
      </c>
      <c r="F1258" s="591"/>
      <c r="G1258" s="592"/>
      <c r="H1258" s="593">
        <v>3.93</v>
      </c>
      <c r="I1258" s="594">
        <v>2250</v>
      </c>
      <c r="J1258" s="595">
        <v>2.37</v>
      </c>
      <c r="K1258" s="592">
        <v>5000</v>
      </c>
      <c r="L1258" s="593"/>
      <c r="M1258" s="594"/>
      <c r="N1258" s="595"/>
      <c r="O1258" s="596"/>
      <c r="P1258" s="597">
        <v>6000</v>
      </c>
      <c r="Q1258" s="598">
        <v>4.84</v>
      </c>
      <c r="R1258" s="599">
        <v>0.85</v>
      </c>
      <c r="S1258" s="600">
        <v>2.7</v>
      </c>
      <c r="T1258" s="601">
        <v>41.9</v>
      </c>
      <c r="U1258" s="602">
        <v>6</v>
      </c>
      <c r="V1258" s="586"/>
      <c r="W1258" s="587" t="s">
        <v>537</v>
      </c>
    </row>
    <row r="1259" spans="1:23">
      <c r="A1259" s="570" t="s">
        <v>1730</v>
      </c>
      <c r="B1259" s="588"/>
      <c r="C1259" s="589"/>
      <c r="D1259" s="589"/>
      <c r="E1259" s="590"/>
      <c r="F1259" s="591"/>
      <c r="G1259" s="592"/>
      <c r="H1259" s="593"/>
      <c r="I1259" s="594"/>
      <c r="J1259" s="595"/>
      <c r="K1259" s="592"/>
      <c r="L1259" s="593"/>
      <c r="M1259" s="594"/>
      <c r="N1259" s="595"/>
      <c r="O1259" s="596"/>
      <c r="P1259" s="597"/>
      <c r="Q1259" s="598"/>
      <c r="R1259" s="599"/>
      <c r="S1259" s="600"/>
      <c r="T1259" s="601"/>
      <c r="U1259" s="602"/>
      <c r="V1259" s="586"/>
      <c r="W1259" s="587" t="s">
        <v>511</v>
      </c>
    </row>
    <row r="1260" spans="1:23">
      <c r="A1260" s="570" t="s">
        <v>1730</v>
      </c>
      <c r="B1260" s="588"/>
      <c r="C1260" s="589"/>
      <c r="D1260" s="589"/>
      <c r="E1260" s="590"/>
      <c r="F1260" s="591"/>
      <c r="G1260" s="592"/>
      <c r="H1260" s="593"/>
      <c r="I1260" s="594"/>
      <c r="J1260" s="595"/>
      <c r="K1260" s="592"/>
      <c r="L1260" s="593"/>
      <c r="M1260" s="594"/>
      <c r="N1260" s="595"/>
      <c r="O1260" s="596"/>
      <c r="P1260" s="597"/>
      <c r="Q1260" s="598"/>
      <c r="R1260" s="599"/>
      <c r="S1260" s="600"/>
      <c r="T1260" s="601"/>
      <c r="U1260" s="602"/>
      <c r="V1260" s="586"/>
      <c r="W1260" s="587" t="s">
        <v>511</v>
      </c>
    </row>
    <row r="1261" spans="1:23">
      <c r="A1261" s="570" t="s">
        <v>1730</v>
      </c>
      <c r="B1261" s="588"/>
      <c r="C1261" s="589"/>
      <c r="D1261" s="589"/>
      <c r="E1261" s="590"/>
      <c r="F1261" s="591"/>
      <c r="G1261" s="592"/>
      <c r="H1261" s="593"/>
      <c r="I1261" s="594"/>
      <c r="J1261" s="595"/>
      <c r="K1261" s="592"/>
      <c r="L1261" s="593"/>
      <c r="M1261" s="594"/>
      <c r="N1261" s="595"/>
      <c r="O1261" s="596"/>
      <c r="P1261" s="597"/>
      <c r="Q1261" s="598"/>
      <c r="R1261" s="599"/>
      <c r="S1261" s="600"/>
      <c r="T1261" s="601"/>
      <c r="U1261" s="602"/>
      <c r="V1261" s="586"/>
      <c r="W1261" s="587" t="s">
        <v>511</v>
      </c>
    </row>
    <row r="1262" spans="1:23">
      <c r="A1262" s="570" t="s">
        <v>1730</v>
      </c>
      <c r="B1262" s="588"/>
      <c r="C1262" s="589"/>
      <c r="D1262" s="589"/>
      <c r="E1262" s="590"/>
      <c r="F1262" s="591"/>
      <c r="G1262" s="592"/>
      <c r="H1262" s="593"/>
      <c r="I1262" s="594"/>
      <c r="J1262" s="595"/>
      <c r="K1262" s="592"/>
      <c r="L1262" s="593"/>
      <c r="M1262" s="594"/>
      <c r="N1262" s="595"/>
      <c r="O1262" s="596"/>
      <c r="P1262" s="597"/>
      <c r="Q1262" s="598"/>
      <c r="R1262" s="599"/>
      <c r="S1262" s="600"/>
      <c r="T1262" s="601"/>
      <c r="U1262" s="602"/>
      <c r="V1262" s="586"/>
      <c r="W1262" s="587" t="s">
        <v>511</v>
      </c>
    </row>
    <row r="1263" spans="1:23">
      <c r="A1263" s="570" t="s">
        <v>1730</v>
      </c>
      <c r="B1263" s="588"/>
      <c r="C1263" s="589"/>
      <c r="D1263" s="589"/>
      <c r="E1263" s="590"/>
      <c r="F1263" s="591"/>
      <c r="G1263" s="592"/>
      <c r="H1263" s="593"/>
      <c r="I1263" s="594"/>
      <c r="J1263" s="595"/>
      <c r="K1263" s="592"/>
      <c r="L1263" s="593"/>
      <c r="M1263" s="594"/>
      <c r="N1263" s="595"/>
      <c r="O1263" s="596"/>
      <c r="P1263" s="597"/>
      <c r="Q1263" s="598"/>
      <c r="R1263" s="599"/>
      <c r="S1263" s="600"/>
      <c r="T1263" s="601"/>
      <c r="U1263" s="602"/>
      <c r="V1263" s="586"/>
      <c r="W1263" s="587" t="s">
        <v>511</v>
      </c>
    </row>
    <row r="1264" spans="1:23">
      <c r="A1264" s="570" t="s">
        <v>1730</v>
      </c>
      <c r="B1264" s="588"/>
      <c r="C1264" s="589"/>
      <c r="D1264" s="589"/>
      <c r="E1264" s="590"/>
      <c r="F1264" s="591"/>
      <c r="G1264" s="592"/>
      <c r="H1264" s="593"/>
      <c r="I1264" s="594"/>
      <c r="J1264" s="595"/>
      <c r="K1264" s="592"/>
      <c r="L1264" s="593"/>
      <c r="M1264" s="594"/>
      <c r="N1264" s="595"/>
      <c r="O1264" s="596"/>
      <c r="P1264" s="597"/>
      <c r="Q1264" s="598"/>
      <c r="R1264" s="599"/>
      <c r="S1264" s="600"/>
      <c r="T1264" s="601"/>
      <c r="U1264" s="602"/>
      <c r="V1264" s="586"/>
      <c r="W1264" s="587" t="s">
        <v>511</v>
      </c>
    </row>
    <row r="1265" spans="1:23">
      <c r="A1265" s="570" t="s">
        <v>1730</v>
      </c>
      <c r="B1265" s="588"/>
      <c r="C1265" s="589"/>
      <c r="D1265" s="589"/>
      <c r="E1265" s="590"/>
      <c r="F1265" s="591"/>
      <c r="G1265" s="592"/>
      <c r="H1265" s="593"/>
      <c r="I1265" s="594"/>
      <c r="J1265" s="595"/>
      <c r="K1265" s="592"/>
      <c r="L1265" s="593"/>
      <c r="M1265" s="594"/>
      <c r="N1265" s="595"/>
      <c r="O1265" s="596"/>
      <c r="P1265" s="597"/>
      <c r="Q1265" s="598"/>
      <c r="R1265" s="599"/>
      <c r="S1265" s="600"/>
      <c r="T1265" s="601"/>
      <c r="U1265" s="602"/>
      <c r="V1265" s="586"/>
      <c r="W1265" s="587" t="s">
        <v>511</v>
      </c>
    </row>
    <row r="1266" spans="1:23">
      <c r="A1266" s="570" t="s">
        <v>1730</v>
      </c>
      <c r="B1266" s="588"/>
      <c r="C1266" s="589"/>
      <c r="D1266" s="589"/>
      <c r="E1266" s="590"/>
      <c r="F1266" s="591"/>
      <c r="G1266" s="592"/>
      <c r="H1266" s="593"/>
      <c r="I1266" s="594"/>
      <c r="J1266" s="595"/>
      <c r="K1266" s="592"/>
      <c r="L1266" s="593"/>
      <c r="M1266" s="594"/>
      <c r="N1266" s="595"/>
      <c r="O1266" s="596"/>
      <c r="P1266" s="597"/>
      <c r="Q1266" s="598"/>
      <c r="R1266" s="599"/>
      <c r="S1266" s="600"/>
      <c r="T1266" s="601"/>
      <c r="U1266" s="602"/>
      <c r="V1266" s="586"/>
      <c r="W1266" s="587" t="s">
        <v>511</v>
      </c>
    </row>
    <row r="1267" spans="1:23">
      <c r="A1267" s="570" t="s">
        <v>1730</v>
      </c>
      <c r="B1267" s="588"/>
      <c r="C1267" s="589"/>
      <c r="D1267" s="589"/>
      <c r="E1267" s="590"/>
      <c r="F1267" s="591"/>
      <c r="G1267" s="592"/>
      <c r="H1267" s="593"/>
      <c r="I1267" s="594"/>
      <c r="J1267" s="595"/>
      <c r="K1267" s="592"/>
      <c r="L1267" s="593"/>
      <c r="M1267" s="594"/>
      <c r="N1267" s="595"/>
      <c r="O1267" s="596"/>
      <c r="P1267" s="597"/>
      <c r="Q1267" s="598"/>
      <c r="R1267" s="599"/>
      <c r="S1267" s="600"/>
      <c r="T1267" s="601"/>
      <c r="U1267" s="602"/>
      <c r="V1267" s="586"/>
      <c r="W1267" s="587" t="s">
        <v>511</v>
      </c>
    </row>
    <row r="1268" spans="1:23">
      <c r="A1268" s="570" t="s">
        <v>1730</v>
      </c>
      <c r="B1268" s="588"/>
      <c r="C1268" s="589"/>
      <c r="D1268" s="589"/>
      <c r="E1268" s="590"/>
      <c r="F1268" s="591"/>
      <c r="G1268" s="592"/>
      <c r="H1268" s="593"/>
      <c r="I1268" s="594"/>
      <c r="J1268" s="595"/>
      <c r="K1268" s="592"/>
      <c r="L1268" s="593"/>
      <c r="M1268" s="594"/>
      <c r="N1268" s="595"/>
      <c r="O1268" s="596"/>
      <c r="P1268" s="597"/>
      <c r="Q1268" s="598"/>
      <c r="R1268" s="599"/>
      <c r="S1268" s="600"/>
      <c r="T1268" s="601"/>
      <c r="U1268" s="602"/>
      <c r="V1268" s="586"/>
      <c r="W1268" s="587" t="s">
        <v>511</v>
      </c>
    </row>
    <row r="1269" spans="1:23">
      <c r="A1269" s="570" t="s">
        <v>1730</v>
      </c>
      <c r="B1269" s="588"/>
      <c r="C1269" s="589"/>
      <c r="D1269" s="589"/>
      <c r="E1269" s="590"/>
      <c r="F1269" s="591"/>
      <c r="G1269" s="592"/>
      <c r="H1269" s="593"/>
      <c r="I1269" s="594"/>
      <c r="J1269" s="595"/>
      <c r="K1269" s="592"/>
      <c r="L1269" s="593"/>
      <c r="M1269" s="594"/>
      <c r="N1269" s="595"/>
      <c r="O1269" s="596"/>
      <c r="P1269" s="597"/>
      <c r="Q1269" s="598"/>
      <c r="R1269" s="599"/>
      <c r="S1269" s="600"/>
      <c r="T1269" s="601"/>
      <c r="U1269" s="602"/>
      <c r="V1269" s="586"/>
      <c r="W1269" s="587" t="s">
        <v>511</v>
      </c>
    </row>
    <row r="1270" spans="1:23">
      <c r="A1270" s="570" t="s">
        <v>1730</v>
      </c>
      <c r="B1270" s="588"/>
      <c r="C1270" s="589"/>
      <c r="D1270" s="589"/>
      <c r="E1270" s="590"/>
      <c r="F1270" s="591"/>
      <c r="G1270" s="592"/>
      <c r="H1270" s="593"/>
      <c r="I1270" s="594"/>
      <c r="J1270" s="595"/>
      <c r="K1270" s="592"/>
      <c r="L1270" s="593"/>
      <c r="M1270" s="594"/>
      <c r="N1270" s="595"/>
      <c r="O1270" s="596"/>
      <c r="P1270" s="597"/>
      <c r="Q1270" s="598"/>
      <c r="R1270" s="599"/>
      <c r="S1270" s="600"/>
      <c r="T1270" s="601"/>
      <c r="U1270" s="602"/>
      <c r="V1270" s="586"/>
      <c r="W1270" s="587" t="s">
        <v>511</v>
      </c>
    </row>
    <row r="1271" spans="1:23">
      <c r="A1271" s="570" t="s">
        <v>1730</v>
      </c>
      <c r="B1271" s="588"/>
      <c r="C1271" s="589"/>
      <c r="D1271" s="589"/>
      <c r="E1271" s="590"/>
      <c r="F1271" s="591"/>
      <c r="G1271" s="592"/>
      <c r="H1271" s="593"/>
      <c r="I1271" s="594"/>
      <c r="J1271" s="595"/>
      <c r="K1271" s="592"/>
      <c r="L1271" s="593"/>
      <c r="M1271" s="594"/>
      <c r="N1271" s="595"/>
      <c r="O1271" s="596"/>
      <c r="P1271" s="597"/>
      <c r="Q1271" s="598"/>
      <c r="R1271" s="599"/>
      <c r="S1271" s="600"/>
      <c r="T1271" s="601"/>
      <c r="U1271" s="602"/>
      <c r="V1271" s="586"/>
      <c r="W1271" s="587" t="s">
        <v>511</v>
      </c>
    </row>
    <row r="1272" spans="1:23">
      <c r="A1272" s="570" t="s">
        <v>1730</v>
      </c>
      <c r="B1272" s="588"/>
      <c r="C1272" s="589"/>
      <c r="D1272" s="589"/>
      <c r="E1272" s="590"/>
      <c r="F1272" s="591"/>
      <c r="G1272" s="592"/>
      <c r="H1272" s="593"/>
      <c r="I1272" s="594"/>
      <c r="J1272" s="595"/>
      <c r="K1272" s="592"/>
      <c r="L1272" s="593"/>
      <c r="M1272" s="594"/>
      <c r="N1272" s="595"/>
      <c r="O1272" s="596"/>
      <c r="P1272" s="597"/>
      <c r="Q1272" s="598"/>
      <c r="R1272" s="599"/>
      <c r="S1272" s="600"/>
      <c r="T1272" s="601"/>
      <c r="U1272" s="602"/>
      <c r="V1272" s="586"/>
      <c r="W1272" s="603" t="s">
        <v>511</v>
      </c>
    </row>
    <row r="1273" spans="1:23">
      <c r="A1273" s="570" t="s">
        <v>1730</v>
      </c>
      <c r="B1273" s="588"/>
      <c r="C1273" s="589"/>
      <c r="D1273" s="589"/>
      <c r="E1273" s="590"/>
      <c r="F1273" s="591"/>
      <c r="G1273" s="592"/>
      <c r="H1273" s="593"/>
      <c r="I1273" s="594"/>
      <c r="J1273" s="595"/>
      <c r="K1273" s="592"/>
      <c r="L1273" s="593"/>
      <c r="M1273" s="594"/>
      <c r="N1273" s="595"/>
      <c r="O1273" s="596"/>
      <c r="P1273" s="597"/>
      <c r="Q1273" s="598"/>
      <c r="R1273" s="599"/>
      <c r="S1273" s="600"/>
      <c r="T1273" s="601"/>
      <c r="U1273" s="602"/>
      <c r="V1273" s="586"/>
      <c r="W1273" s="587" t="s">
        <v>511</v>
      </c>
    </row>
    <row r="1274" spans="1:23">
      <c r="A1274" s="570" t="s">
        <v>1730</v>
      </c>
      <c r="B1274" s="588"/>
      <c r="C1274" s="589"/>
      <c r="D1274" s="589"/>
      <c r="E1274" s="590"/>
      <c r="F1274" s="591"/>
      <c r="G1274" s="592"/>
      <c r="H1274" s="593"/>
      <c r="I1274" s="594"/>
      <c r="J1274" s="595"/>
      <c r="K1274" s="592"/>
      <c r="L1274" s="593"/>
      <c r="M1274" s="594"/>
      <c r="N1274" s="595"/>
      <c r="O1274" s="596"/>
      <c r="P1274" s="597"/>
      <c r="Q1274" s="598"/>
      <c r="R1274" s="599"/>
      <c r="S1274" s="600"/>
      <c r="T1274" s="601"/>
      <c r="U1274" s="602"/>
      <c r="V1274" s="586"/>
      <c r="W1274" s="587" t="s">
        <v>511</v>
      </c>
    </row>
    <row r="1275" spans="1:23">
      <c r="A1275" s="570" t="s">
        <v>1730</v>
      </c>
      <c r="B1275" s="588"/>
      <c r="C1275" s="589"/>
      <c r="D1275" s="589"/>
      <c r="E1275" s="590"/>
      <c r="F1275" s="591"/>
      <c r="G1275" s="592"/>
      <c r="H1275" s="593"/>
      <c r="I1275" s="594"/>
      <c r="J1275" s="595"/>
      <c r="K1275" s="592"/>
      <c r="L1275" s="593"/>
      <c r="M1275" s="594"/>
      <c r="N1275" s="595"/>
      <c r="O1275" s="596"/>
      <c r="P1275" s="597"/>
      <c r="Q1275" s="598"/>
      <c r="R1275" s="599"/>
      <c r="S1275" s="600"/>
      <c r="T1275" s="601"/>
      <c r="U1275" s="602"/>
      <c r="V1275" s="586"/>
      <c r="W1275" s="587" t="s">
        <v>511</v>
      </c>
    </row>
    <row r="1276" spans="1:23">
      <c r="A1276" s="570" t="s">
        <v>1730</v>
      </c>
      <c r="B1276" s="588"/>
      <c r="C1276" s="589"/>
      <c r="D1276" s="589"/>
      <c r="E1276" s="590"/>
      <c r="F1276" s="591"/>
      <c r="G1276" s="592"/>
      <c r="H1276" s="593"/>
      <c r="I1276" s="594"/>
      <c r="J1276" s="595"/>
      <c r="K1276" s="592"/>
      <c r="L1276" s="593"/>
      <c r="M1276" s="594"/>
      <c r="N1276" s="595"/>
      <c r="O1276" s="596"/>
      <c r="P1276" s="597"/>
      <c r="Q1276" s="598"/>
      <c r="R1276" s="599"/>
      <c r="S1276" s="600"/>
      <c r="T1276" s="601"/>
      <c r="U1276" s="602"/>
      <c r="V1276" s="586"/>
      <c r="W1276" s="587" t="s">
        <v>511</v>
      </c>
    </row>
    <row r="1277" spans="1:23">
      <c r="A1277" s="570" t="s">
        <v>1730</v>
      </c>
      <c r="B1277" s="588"/>
      <c r="C1277" s="589"/>
      <c r="D1277" s="589"/>
      <c r="E1277" s="590"/>
      <c r="F1277" s="591"/>
      <c r="G1277" s="592"/>
      <c r="H1277" s="593"/>
      <c r="I1277" s="594"/>
      <c r="J1277" s="595"/>
      <c r="K1277" s="592"/>
      <c r="L1277" s="593"/>
      <c r="M1277" s="594"/>
      <c r="N1277" s="595"/>
      <c r="O1277" s="596"/>
      <c r="P1277" s="597"/>
      <c r="Q1277" s="598"/>
      <c r="R1277" s="599"/>
      <c r="S1277" s="600"/>
      <c r="T1277" s="601"/>
      <c r="U1277" s="602"/>
      <c r="V1277" s="586"/>
      <c r="W1277" s="587" t="s">
        <v>511</v>
      </c>
    </row>
    <row r="1278" spans="1:23">
      <c r="A1278" s="570" t="s">
        <v>1730</v>
      </c>
      <c r="B1278" s="588"/>
      <c r="C1278" s="589"/>
      <c r="D1278" s="589"/>
      <c r="E1278" s="590"/>
      <c r="F1278" s="591"/>
      <c r="G1278" s="592"/>
      <c r="H1278" s="593"/>
      <c r="I1278" s="594"/>
      <c r="J1278" s="595"/>
      <c r="K1278" s="592"/>
      <c r="L1278" s="593"/>
      <c r="M1278" s="594"/>
      <c r="N1278" s="595"/>
      <c r="O1278" s="596"/>
      <c r="P1278" s="597"/>
      <c r="Q1278" s="598"/>
      <c r="R1278" s="599"/>
      <c r="S1278" s="600"/>
      <c r="T1278" s="601"/>
      <c r="U1278" s="602"/>
      <c r="V1278" s="586"/>
      <c r="W1278" s="587" t="s">
        <v>511</v>
      </c>
    </row>
    <row r="1279" spans="1:23">
      <c r="A1279" s="570" t="s">
        <v>1730</v>
      </c>
      <c r="B1279" s="588"/>
      <c r="C1279" s="589"/>
      <c r="D1279" s="589"/>
      <c r="E1279" s="590"/>
      <c r="F1279" s="591"/>
      <c r="G1279" s="592"/>
      <c r="H1279" s="593"/>
      <c r="I1279" s="594"/>
      <c r="J1279" s="595"/>
      <c r="K1279" s="592"/>
      <c r="L1279" s="593"/>
      <c r="M1279" s="594"/>
      <c r="N1279" s="595"/>
      <c r="O1279" s="596"/>
      <c r="P1279" s="597"/>
      <c r="Q1279" s="598"/>
      <c r="R1279" s="599"/>
      <c r="S1279" s="600"/>
      <c r="T1279" s="601"/>
      <c r="U1279" s="602"/>
      <c r="V1279" s="586"/>
      <c r="W1279" s="587" t="s">
        <v>511</v>
      </c>
    </row>
    <row r="1280" spans="1:23" ht="13.5" thickBot="1">
      <c r="A1280" s="604" t="s">
        <v>1730</v>
      </c>
      <c r="B1280" s="605"/>
      <c r="C1280" s="606"/>
      <c r="D1280" s="606"/>
      <c r="E1280" s="607"/>
      <c r="F1280" s="608"/>
      <c r="G1280" s="609"/>
      <c r="H1280" s="610"/>
      <c r="I1280" s="611"/>
      <c r="J1280" s="612"/>
      <c r="K1280" s="609"/>
      <c r="L1280" s="610"/>
      <c r="M1280" s="611"/>
      <c r="N1280" s="612"/>
      <c r="O1280" s="613"/>
      <c r="P1280" s="614"/>
      <c r="Q1280" s="615"/>
      <c r="R1280" s="616"/>
      <c r="S1280" s="617"/>
      <c r="T1280" s="618"/>
      <c r="U1280" s="619"/>
      <c r="V1280" s="586"/>
      <c r="W1280" s="587" t="s">
        <v>511</v>
      </c>
    </row>
  </sheetData>
  <sheetProtection password="DDA1" sheet="1"/>
  <mergeCells count="27">
    <mergeCell ref="O2:O8"/>
    <mergeCell ref="R1:R8"/>
    <mergeCell ref="S1:S8"/>
    <mergeCell ref="T1:T8"/>
    <mergeCell ref="U1:U8"/>
    <mergeCell ref="W1:W8"/>
    <mergeCell ref="F2:F8"/>
    <mergeCell ref="G2:G8"/>
    <mergeCell ref="H2:H8"/>
    <mergeCell ref="I2:I8"/>
    <mergeCell ref="J2:J8"/>
    <mergeCell ref="H1:I1"/>
    <mergeCell ref="J1:K1"/>
    <mergeCell ref="L1:M1"/>
    <mergeCell ref="N1:O1"/>
    <mergeCell ref="P1:P8"/>
    <mergeCell ref="Q1:Q8"/>
    <mergeCell ref="K2:K8"/>
    <mergeCell ref="L2:L8"/>
    <mergeCell ref="M2:M8"/>
    <mergeCell ref="N2:N8"/>
    <mergeCell ref="F1:G1"/>
    <mergeCell ref="A1:A8"/>
    <mergeCell ref="B1:B8"/>
    <mergeCell ref="C1:C8"/>
    <mergeCell ref="D1:D8"/>
    <mergeCell ref="E1:E8"/>
  </mergeCells>
  <pageMargins left="0.7" right="0.7" top="0.75" bottom="0.75" header="0.3" footer="0.3"/>
  <pageSetup paperSize="9" orientation="portrait" r:id="rId1"/>
  <headerFooter alignWithMargins="0"/>
  <customProperties>
    <customPr name="workbookAdvencedSettings" r:id="rId2"/>
    <customPr name="workbookExecutionSettings" r:id="rId3"/>
    <customPr name="workbookGatewaySettings"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CB194"/>
  <sheetViews>
    <sheetView zoomScale="90" zoomScaleNormal="90" workbookViewId="0">
      <pane ySplit="1" topLeftCell="A80" activePane="bottomLeft" state="frozen"/>
      <selection activeCell="Z1247" sqref="Z1247"/>
      <selection pane="bottomLeft" activeCell="F16" sqref="F16"/>
    </sheetView>
  </sheetViews>
  <sheetFormatPr defaultRowHeight="12.75"/>
  <cols>
    <col min="1" max="1" width="19.28515625" style="586" customWidth="1"/>
    <col min="2" max="2" width="12.42578125" style="586" customWidth="1"/>
    <col min="3" max="9" width="11.42578125" style="586" customWidth="1"/>
    <col min="10" max="10" width="22.85546875" style="374" customWidth="1"/>
    <col min="11" max="11" width="18.85546875" style="374" bestFit="1" customWidth="1"/>
    <col min="12" max="12" width="11.42578125" style="620" customWidth="1"/>
    <col min="13" max="13" width="11.5703125" style="620" bestFit="1" customWidth="1"/>
    <col min="14" max="14" width="12.5703125" style="620" bestFit="1" customWidth="1"/>
    <col min="15" max="15" width="14.85546875" style="620" customWidth="1"/>
    <col min="16" max="20" width="9.140625" style="374"/>
    <col min="21" max="21" width="9.5703125" style="374" customWidth="1"/>
    <col min="22" max="27" width="9.140625" style="374" customWidth="1"/>
    <col min="28" max="28" width="16.7109375" style="374" bestFit="1" customWidth="1"/>
    <col min="29" max="29" width="9.5703125" style="374" customWidth="1"/>
    <col min="30" max="36" width="9.140625" style="374" customWidth="1"/>
    <col min="37" max="37" width="9.5703125" style="374" bestFit="1" customWidth="1"/>
    <col min="38" max="38" width="16.7109375" style="374" bestFit="1" customWidth="1"/>
    <col min="39" max="44" width="9.140625" style="374"/>
    <col min="45" max="45" width="9.28515625" style="374" bestFit="1" customWidth="1"/>
    <col min="46" max="46" width="9.5703125" style="374" bestFit="1" customWidth="1"/>
    <col min="47" max="260" width="9.140625" style="374"/>
    <col min="261" max="261" width="19.28515625" style="374" customWidth="1"/>
    <col min="262" max="262" width="12.42578125" style="374" customWidth="1"/>
    <col min="263" max="269" width="11.42578125" style="374" customWidth="1"/>
    <col min="270" max="270" width="22.85546875" style="374" customWidth="1"/>
    <col min="271" max="271" width="18.85546875" style="374" bestFit="1" customWidth="1"/>
    <col min="272" max="272" width="11.42578125" style="374" customWidth="1"/>
    <col min="273" max="273" width="11.5703125" style="374" bestFit="1" customWidth="1"/>
    <col min="274" max="274" width="12.5703125" style="374" bestFit="1" customWidth="1"/>
    <col min="275" max="275" width="14.85546875" style="374" customWidth="1"/>
    <col min="276" max="280" width="9.140625" style="374"/>
    <col min="281" max="281" width="9.5703125" style="374" bestFit="1" customWidth="1"/>
    <col min="282" max="287" width="9.140625" style="374"/>
    <col min="288" max="288" width="9.5703125" style="374" bestFit="1" customWidth="1"/>
    <col min="289" max="294" width="9.140625" style="374"/>
    <col min="295" max="295" width="9.5703125" style="374" bestFit="1" customWidth="1"/>
    <col min="296" max="516" width="9.140625" style="374"/>
    <col min="517" max="517" width="19.28515625" style="374" customWidth="1"/>
    <col min="518" max="518" width="12.42578125" style="374" customWidth="1"/>
    <col min="519" max="525" width="11.42578125" style="374" customWidth="1"/>
    <col min="526" max="526" width="22.85546875" style="374" customWidth="1"/>
    <col min="527" max="527" width="18.85546875" style="374" bestFit="1" customWidth="1"/>
    <col min="528" max="528" width="11.42578125" style="374" customWidth="1"/>
    <col min="529" max="529" width="11.5703125" style="374" bestFit="1" customWidth="1"/>
    <col min="530" max="530" width="12.5703125" style="374" bestFit="1" customWidth="1"/>
    <col min="531" max="531" width="14.85546875" style="374" customWidth="1"/>
    <col min="532" max="536" width="9.140625" style="374"/>
    <col min="537" max="537" width="9.5703125" style="374" bestFit="1" customWidth="1"/>
    <col min="538" max="543" width="9.140625" style="374"/>
    <col min="544" max="544" width="9.5703125" style="374" bestFit="1" customWidth="1"/>
    <col min="545" max="550" width="9.140625" style="374"/>
    <col min="551" max="551" width="9.5703125" style="374" bestFit="1" customWidth="1"/>
    <col min="552" max="772" width="9.140625" style="374"/>
    <col min="773" max="773" width="19.28515625" style="374" customWidth="1"/>
    <col min="774" max="774" width="12.42578125" style="374" customWidth="1"/>
    <col min="775" max="781" width="11.42578125" style="374" customWidth="1"/>
    <col min="782" max="782" width="22.85546875" style="374" customWidth="1"/>
    <col min="783" max="783" width="18.85546875" style="374" bestFit="1" customWidth="1"/>
    <col min="784" max="784" width="11.42578125" style="374" customWidth="1"/>
    <col min="785" max="785" width="11.5703125" style="374" bestFit="1" customWidth="1"/>
    <col min="786" max="786" width="12.5703125" style="374" bestFit="1" customWidth="1"/>
    <col min="787" max="787" width="14.85546875" style="374" customWidth="1"/>
    <col min="788" max="792" width="9.140625" style="374"/>
    <col min="793" max="793" width="9.5703125" style="374" bestFit="1" customWidth="1"/>
    <col min="794" max="799" width="9.140625" style="374"/>
    <col min="800" max="800" width="9.5703125" style="374" bestFit="1" customWidth="1"/>
    <col min="801" max="806" width="9.140625" style="374"/>
    <col min="807" max="807" width="9.5703125" style="374" bestFit="1" customWidth="1"/>
    <col min="808" max="1028" width="9.140625" style="374"/>
    <col min="1029" max="1029" width="19.28515625" style="374" customWidth="1"/>
    <col min="1030" max="1030" width="12.42578125" style="374" customWidth="1"/>
    <col min="1031" max="1037" width="11.42578125" style="374" customWidth="1"/>
    <col min="1038" max="1038" width="22.85546875" style="374" customWidth="1"/>
    <col min="1039" max="1039" width="18.85546875" style="374" bestFit="1" customWidth="1"/>
    <col min="1040" max="1040" width="11.42578125" style="374" customWidth="1"/>
    <col min="1041" max="1041" width="11.5703125" style="374" bestFit="1" customWidth="1"/>
    <col min="1042" max="1042" width="12.5703125" style="374" bestFit="1" customWidth="1"/>
    <col min="1043" max="1043" width="14.85546875" style="374" customWidth="1"/>
    <col min="1044" max="1048" width="9.140625" style="374"/>
    <col min="1049" max="1049" width="9.5703125" style="374" bestFit="1" customWidth="1"/>
    <col min="1050" max="1055" width="9.140625" style="374"/>
    <col min="1056" max="1056" width="9.5703125" style="374" bestFit="1" customWidth="1"/>
    <col min="1057" max="1062" width="9.140625" style="374"/>
    <col min="1063" max="1063" width="9.5703125" style="374" bestFit="1" customWidth="1"/>
    <col min="1064" max="1284" width="9.140625" style="374"/>
    <col min="1285" max="1285" width="19.28515625" style="374" customWidth="1"/>
    <col min="1286" max="1286" width="12.42578125" style="374" customWidth="1"/>
    <col min="1287" max="1293" width="11.42578125" style="374" customWidth="1"/>
    <col min="1294" max="1294" width="22.85546875" style="374" customWidth="1"/>
    <col min="1295" max="1295" width="18.85546875" style="374" bestFit="1" customWidth="1"/>
    <col min="1296" max="1296" width="11.42578125" style="374" customWidth="1"/>
    <col min="1297" max="1297" width="11.5703125" style="374" bestFit="1" customWidth="1"/>
    <col min="1298" max="1298" width="12.5703125" style="374" bestFit="1" customWidth="1"/>
    <col min="1299" max="1299" width="14.85546875" style="374" customWidth="1"/>
    <col min="1300" max="1304" width="9.140625" style="374"/>
    <col min="1305" max="1305" width="9.5703125" style="374" bestFit="1" customWidth="1"/>
    <col min="1306" max="1311" width="9.140625" style="374"/>
    <col min="1312" max="1312" width="9.5703125" style="374" bestFit="1" customWidth="1"/>
    <col min="1313" max="1318" width="9.140625" style="374"/>
    <col min="1319" max="1319" width="9.5703125" style="374" bestFit="1" customWidth="1"/>
    <col min="1320" max="1540" width="9.140625" style="374"/>
    <col min="1541" max="1541" width="19.28515625" style="374" customWidth="1"/>
    <col min="1542" max="1542" width="12.42578125" style="374" customWidth="1"/>
    <col min="1543" max="1549" width="11.42578125" style="374" customWidth="1"/>
    <col min="1550" max="1550" width="22.85546875" style="374" customWidth="1"/>
    <col min="1551" max="1551" width="18.85546875" style="374" bestFit="1" customWidth="1"/>
    <col min="1552" max="1552" width="11.42578125" style="374" customWidth="1"/>
    <col min="1553" max="1553" width="11.5703125" style="374" bestFit="1" customWidth="1"/>
    <col min="1554" max="1554" width="12.5703125" style="374" bestFit="1" customWidth="1"/>
    <col min="1555" max="1555" width="14.85546875" style="374" customWidth="1"/>
    <col min="1556" max="1560" width="9.140625" style="374"/>
    <col min="1561" max="1561" width="9.5703125" style="374" bestFit="1" customWidth="1"/>
    <col min="1562" max="1567" width="9.140625" style="374"/>
    <col min="1568" max="1568" width="9.5703125" style="374" bestFit="1" customWidth="1"/>
    <col min="1569" max="1574" width="9.140625" style="374"/>
    <col min="1575" max="1575" width="9.5703125" style="374" bestFit="1" customWidth="1"/>
    <col min="1576" max="1796" width="9.140625" style="374"/>
    <col min="1797" max="1797" width="19.28515625" style="374" customWidth="1"/>
    <col min="1798" max="1798" width="12.42578125" style="374" customWidth="1"/>
    <col min="1799" max="1805" width="11.42578125" style="374" customWidth="1"/>
    <col min="1806" max="1806" width="22.85546875" style="374" customWidth="1"/>
    <col min="1807" max="1807" width="18.85546875" style="374" bestFit="1" customWidth="1"/>
    <col min="1808" max="1808" width="11.42578125" style="374" customWidth="1"/>
    <col min="1809" max="1809" width="11.5703125" style="374" bestFit="1" customWidth="1"/>
    <col min="1810" max="1810" width="12.5703125" style="374" bestFit="1" customWidth="1"/>
    <col min="1811" max="1811" width="14.85546875" style="374" customWidth="1"/>
    <col min="1812" max="1816" width="9.140625" style="374"/>
    <col min="1817" max="1817" width="9.5703125" style="374" bestFit="1" customWidth="1"/>
    <col min="1818" max="1823" width="9.140625" style="374"/>
    <col min="1824" max="1824" width="9.5703125" style="374" bestFit="1" customWidth="1"/>
    <col min="1825" max="1830" width="9.140625" style="374"/>
    <col min="1831" max="1831" width="9.5703125" style="374" bestFit="1" customWidth="1"/>
    <col min="1832" max="2052" width="9.140625" style="374"/>
    <col min="2053" max="2053" width="19.28515625" style="374" customWidth="1"/>
    <col min="2054" max="2054" width="12.42578125" style="374" customWidth="1"/>
    <col min="2055" max="2061" width="11.42578125" style="374" customWidth="1"/>
    <col min="2062" max="2062" width="22.85546875" style="374" customWidth="1"/>
    <col min="2063" max="2063" width="18.85546875" style="374" bestFit="1" customWidth="1"/>
    <col min="2064" max="2064" width="11.42578125" style="374" customWidth="1"/>
    <col min="2065" max="2065" width="11.5703125" style="374" bestFit="1" customWidth="1"/>
    <col min="2066" max="2066" width="12.5703125" style="374" bestFit="1" customWidth="1"/>
    <col min="2067" max="2067" width="14.85546875" style="374" customWidth="1"/>
    <col min="2068" max="2072" width="9.140625" style="374"/>
    <col min="2073" max="2073" width="9.5703125" style="374" bestFit="1" customWidth="1"/>
    <col min="2074" max="2079" width="9.140625" style="374"/>
    <col min="2080" max="2080" width="9.5703125" style="374" bestFit="1" customWidth="1"/>
    <col min="2081" max="2086" width="9.140625" style="374"/>
    <col min="2087" max="2087" width="9.5703125" style="374" bestFit="1" customWidth="1"/>
    <col min="2088" max="2308" width="9.140625" style="374"/>
    <col min="2309" max="2309" width="19.28515625" style="374" customWidth="1"/>
    <col min="2310" max="2310" width="12.42578125" style="374" customWidth="1"/>
    <col min="2311" max="2317" width="11.42578125" style="374" customWidth="1"/>
    <col min="2318" max="2318" width="22.85546875" style="374" customWidth="1"/>
    <col min="2319" max="2319" width="18.85546875" style="374" bestFit="1" customWidth="1"/>
    <col min="2320" max="2320" width="11.42578125" style="374" customWidth="1"/>
    <col min="2321" max="2321" width="11.5703125" style="374" bestFit="1" customWidth="1"/>
    <col min="2322" max="2322" width="12.5703125" style="374" bestFit="1" customWidth="1"/>
    <col min="2323" max="2323" width="14.85546875" style="374" customWidth="1"/>
    <col min="2324" max="2328" width="9.140625" style="374"/>
    <col min="2329" max="2329" width="9.5703125" style="374" bestFit="1" customWidth="1"/>
    <col min="2330" max="2335" width="9.140625" style="374"/>
    <col min="2336" max="2336" width="9.5703125" style="374" bestFit="1" customWidth="1"/>
    <col min="2337" max="2342" width="9.140625" style="374"/>
    <col min="2343" max="2343" width="9.5703125" style="374" bestFit="1" customWidth="1"/>
    <col min="2344" max="2564" width="9.140625" style="374"/>
    <col min="2565" max="2565" width="19.28515625" style="374" customWidth="1"/>
    <col min="2566" max="2566" width="12.42578125" style="374" customWidth="1"/>
    <col min="2567" max="2573" width="11.42578125" style="374" customWidth="1"/>
    <col min="2574" max="2574" width="22.85546875" style="374" customWidth="1"/>
    <col min="2575" max="2575" width="18.85546875" style="374" bestFit="1" customWidth="1"/>
    <col min="2576" max="2576" width="11.42578125" style="374" customWidth="1"/>
    <col min="2577" max="2577" width="11.5703125" style="374" bestFit="1" customWidth="1"/>
    <col min="2578" max="2578" width="12.5703125" style="374" bestFit="1" customWidth="1"/>
    <col min="2579" max="2579" width="14.85546875" style="374" customWidth="1"/>
    <col min="2580" max="2584" width="9.140625" style="374"/>
    <col min="2585" max="2585" width="9.5703125" style="374" bestFit="1" customWidth="1"/>
    <col min="2586" max="2591" width="9.140625" style="374"/>
    <col min="2592" max="2592" width="9.5703125" style="374" bestFit="1" customWidth="1"/>
    <col min="2593" max="2598" width="9.140625" style="374"/>
    <col min="2599" max="2599" width="9.5703125" style="374" bestFit="1" customWidth="1"/>
    <col min="2600" max="2820" width="9.140625" style="374"/>
    <col min="2821" max="2821" width="19.28515625" style="374" customWidth="1"/>
    <col min="2822" max="2822" width="12.42578125" style="374" customWidth="1"/>
    <col min="2823" max="2829" width="11.42578125" style="374" customWidth="1"/>
    <col min="2830" max="2830" width="22.85546875" style="374" customWidth="1"/>
    <col min="2831" max="2831" width="18.85546875" style="374" bestFit="1" customWidth="1"/>
    <col min="2832" max="2832" width="11.42578125" style="374" customWidth="1"/>
    <col min="2833" max="2833" width="11.5703125" style="374" bestFit="1" customWidth="1"/>
    <col min="2834" max="2834" width="12.5703125" style="374" bestFit="1" customWidth="1"/>
    <col min="2835" max="2835" width="14.85546875" style="374" customWidth="1"/>
    <col min="2836" max="2840" width="9.140625" style="374"/>
    <col min="2841" max="2841" width="9.5703125" style="374" bestFit="1" customWidth="1"/>
    <col min="2842" max="2847" width="9.140625" style="374"/>
    <col min="2848" max="2848" width="9.5703125" style="374" bestFit="1" customWidth="1"/>
    <col min="2849" max="2854" width="9.140625" style="374"/>
    <col min="2855" max="2855" width="9.5703125" style="374" bestFit="1" customWidth="1"/>
    <col min="2856" max="3076" width="9.140625" style="374"/>
    <col min="3077" max="3077" width="19.28515625" style="374" customWidth="1"/>
    <col min="3078" max="3078" width="12.42578125" style="374" customWidth="1"/>
    <col min="3079" max="3085" width="11.42578125" style="374" customWidth="1"/>
    <col min="3086" max="3086" width="22.85546875" style="374" customWidth="1"/>
    <col min="3087" max="3087" width="18.85546875" style="374" bestFit="1" customWidth="1"/>
    <col min="3088" max="3088" width="11.42578125" style="374" customWidth="1"/>
    <col min="3089" max="3089" width="11.5703125" style="374" bestFit="1" customWidth="1"/>
    <col min="3090" max="3090" width="12.5703125" style="374" bestFit="1" customWidth="1"/>
    <col min="3091" max="3091" width="14.85546875" style="374" customWidth="1"/>
    <col min="3092" max="3096" width="9.140625" style="374"/>
    <col min="3097" max="3097" width="9.5703125" style="374" bestFit="1" customWidth="1"/>
    <col min="3098" max="3103" width="9.140625" style="374"/>
    <col min="3104" max="3104" width="9.5703125" style="374" bestFit="1" customWidth="1"/>
    <col min="3105" max="3110" width="9.140625" style="374"/>
    <col min="3111" max="3111" width="9.5703125" style="374" bestFit="1" customWidth="1"/>
    <col min="3112" max="3332" width="9.140625" style="374"/>
    <col min="3333" max="3333" width="19.28515625" style="374" customWidth="1"/>
    <col min="3334" max="3334" width="12.42578125" style="374" customWidth="1"/>
    <col min="3335" max="3341" width="11.42578125" style="374" customWidth="1"/>
    <col min="3342" max="3342" width="22.85546875" style="374" customWidth="1"/>
    <col min="3343" max="3343" width="18.85546875" style="374" bestFit="1" customWidth="1"/>
    <col min="3344" max="3344" width="11.42578125" style="374" customWidth="1"/>
    <col min="3345" max="3345" width="11.5703125" style="374" bestFit="1" customWidth="1"/>
    <col min="3346" max="3346" width="12.5703125" style="374" bestFit="1" customWidth="1"/>
    <col min="3347" max="3347" width="14.85546875" style="374" customWidth="1"/>
    <col min="3348" max="3352" width="9.140625" style="374"/>
    <col min="3353" max="3353" width="9.5703125" style="374" bestFit="1" customWidth="1"/>
    <col min="3354" max="3359" width="9.140625" style="374"/>
    <col min="3360" max="3360" width="9.5703125" style="374" bestFit="1" customWidth="1"/>
    <col min="3361" max="3366" width="9.140625" style="374"/>
    <col min="3367" max="3367" width="9.5703125" style="374" bestFit="1" customWidth="1"/>
    <col min="3368" max="3588" width="9.140625" style="374"/>
    <col min="3589" max="3589" width="19.28515625" style="374" customWidth="1"/>
    <col min="3590" max="3590" width="12.42578125" style="374" customWidth="1"/>
    <col min="3591" max="3597" width="11.42578125" style="374" customWidth="1"/>
    <col min="3598" max="3598" width="22.85546875" style="374" customWidth="1"/>
    <col min="3599" max="3599" width="18.85546875" style="374" bestFit="1" customWidth="1"/>
    <col min="3600" max="3600" width="11.42578125" style="374" customWidth="1"/>
    <col min="3601" max="3601" width="11.5703125" style="374" bestFit="1" customWidth="1"/>
    <col min="3602" max="3602" width="12.5703125" style="374" bestFit="1" customWidth="1"/>
    <col min="3603" max="3603" width="14.85546875" style="374" customWidth="1"/>
    <col min="3604" max="3608" width="9.140625" style="374"/>
    <col min="3609" max="3609" width="9.5703125" style="374" bestFit="1" customWidth="1"/>
    <col min="3610" max="3615" width="9.140625" style="374"/>
    <col min="3616" max="3616" width="9.5703125" style="374" bestFit="1" customWidth="1"/>
    <col min="3617" max="3622" width="9.140625" style="374"/>
    <col min="3623" max="3623" width="9.5703125" style="374" bestFit="1" customWidth="1"/>
    <col min="3624" max="3844" width="9.140625" style="374"/>
    <col min="3845" max="3845" width="19.28515625" style="374" customWidth="1"/>
    <col min="3846" max="3846" width="12.42578125" style="374" customWidth="1"/>
    <col min="3847" max="3853" width="11.42578125" style="374" customWidth="1"/>
    <col min="3854" max="3854" width="22.85546875" style="374" customWidth="1"/>
    <col min="3855" max="3855" width="18.85546875" style="374" bestFit="1" customWidth="1"/>
    <col min="3856" max="3856" width="11.42578125" style="374" customWidth="1"/>
    <col min="3857" max="3857" width="11.5703125" style="374" bestFit="1" customWidth="1"/>
    <col min="3858" max="3858" width="12.5703125" style="374" bestFit="1" customWidth="1"/>
    <col min="3859" max="3859" width="14.85546875" style="374" customWidth="1"/>
    <col min="3860" max="3864" width="9.140625" style="374"/>
    <col min="3865" max="3865" width="9.5703125" style="374" bestFit="1" customWidth="1"/>
    <col min="3866" max="3871" width="9.140625" style="374"/>
    <col min="3872" max="3872" width="9.5703125" style="374" bestFit="1" customWidth="1"/>
    <col min="3873" max="3878" width="9.140625" style="374"/>
    <col min="3879" max="3879" width="9.5703125" style="374" bestFit="1" customWidth="1"/>
    <col min="3880" max="4100" width="9.140625" style="374"/>
    <col min="4101" max="4101" width="19.28515625" style="374" customWidth="1"/>
    <col min="4102" max="4102" width="12.42578125" style="374" customWidth="1"/>
    <col min="4103" max="4109" width="11.42578125" style="374" customWidth="1"/>
    <col min="4110" max="4110" width="22.85546875" style="374" customWidth="1"/>
    <col min="4111" max="4111" width="18.85546875" style="374" bestFit="1" customWidth="1"/>
    <col min="4112" max="4112" width="11.42578125" style="374" customWidth="1"/>
    <col min="4113" max="4113" width="11.5703125" style="374" bestFit="1" customWidth="1"/>
    <col min="4114" max="4114" width="12.5703125" style="374" bestFit="1" customWidth="1"/>
    <col min="4115" max="4115" width="14.85546875" style="374" customWidth="1"/>
    <col min="4116" max="4120" width="9.140625" style="374"/>
    <col min="4121" max="4121" width="9.5703125" style="374" bestFit="1" customWidth="1"/>
    <col min="4122" max="4127" width="9.140625" style="374"/>
    <col min="4128" max="4128" width="9.5703125" style="374" bestFit="1" customWidth="1"/>
    <col min="4129" max="4134" width="9.140625" style="374"/>
    <col min="4135" max="4135" width="9.5703125" style="374" bestFit="1" customWidth="1"/>
    <col min="4136" max="4356" width="9.140625" style="374"/>
    <col min="4357" max="4357" width="19.28515625" style="374" customWidth="1"/>
    <col min="4358" max="4358" width="12.42578125" style="374" customWidth="1"/>
    <col min="4359" max="4365" width="11.42578125" style="374" customWidth="1"/>
    <col min="4366" max="4366" width="22.85546875" style="374" customWidth="1"/>
    <col min="4367" max="4367" width="18.85546875" style="374" bestFit="1" customWidth="1"/>
    <col min="4368" max="4368" width="11.42578125" style="374" customWidth="1"/>
    <col min="4369" max="4369" width="11.5703125" style="374" bestFit="1" customWidth="1"/>
    <col min="4370" max="4370" width="12.5703125" style="374" bestFit="1" customWidth="1"/>
    <col min="4371" max="4371" width="14.85546875" style="374" customWidth="1"/>
    <col min="4372" max="4376" width="9.140625" style="374"/>
    <col min="4377" max="4377" width="9.5703125" style="374" bestFit="1" customWidth="1"/>
    <col min="4378" max="4383" width="9.140625" style="374"/>
    <col min="4384" max="4384" width="9.5703125" style="374" bestFit="1" customWidth="1"/>
    <col min="4385" max="4390" width="9.140625" style="374"/>
    <col min="4391" max="4391" width="9.5703125" style="374" bestFit="1" customWidth="1"/>
    <col min="4392" max="4612" width="9.140625" style="374"/>
    <col min="4613" max="4613" width="19.28515625" style="374" customWidth="1"/>
    <col min="4614" max="4614" width="12.42578125" style="374" customWidth="1"/>
    <col min="4615" max="4621" width="11.42578125" style="374" customWidth="1"/>
    <col min="4622" max="4622" width="22.85546875" style="374" customWidth="1"/>
    <col min="4623" max="4623" width="18.85546875" style="374" bestFit="1" customWidth="1"/>
    <col min="4624" max="4624" width="11.42578125" style="374" customWidth="1"/>
    <col min="4625" max="4625" width="11.5703125" style="374" bestFit="1" customWidth="1"/>
    <col min="4626" max="4626" width="12.5703125" style="374" bestFit="1" customWidth="1"/>
    <col min="4627" max="4627" width="14.85546875" style="374" customWidth="1"/>
    <col min="4628" max="4632" width="9.140625" style="374"/>
    <col min="4633" max="4633" width="9.5703125" style="374" bestFit="1" customWidth="1"/>
    <col min="4634" max="4639" width="9.140625" style="374"/>
    <col min="4640" max="4640" width="9.5703125" style="374" bestFit="1" customWidth="1"/>
    <col min="4641" max="4646" width="9.140625" style="374"/>
    <col min="4647" max="4647" width="9.5703125" style="374" bestFit="1" customWidth="1"/>
    <col min="4648" max="4868" width="9.140625" style="374"/>
    <col min="4869" max="4869" width="19.28515625" style="374" customWidth="1"/>
    <col min="4870" max="4870" width="12.42578125" style="374" customWidth="1"/>
    <col min="4871" max="4877" width="11.42578125" style="374" customWidth="1"/>
    <col min="4878" max="4878" width="22.85546875" style="374" customWidth="1"/>
    <col min="4879" max="4879" width="18.85546875" style="374" bestFit="1" customWidth="1"/>
    <col min="4880" max="4880" width="11.42578125" style="374" customWidth="1"/>
    <col min="4881" max="4881" width="11.5703125" style="374" bestFit="1" customWidth="1"/>
    <col min="4882" max="4882" width="12.5703125" style="374" bestFit="1" customWidth="1"/>
    <col min="4883" max="4883" width="14.85546875" style="374" customWidth="1"/>
    <col min="4884" max="4888" width="9.140625" style="374"/>
    <col min="4889" max="4889" width="9.5703125" style="374" bestFit="1" customWidth="1"/>
    <col min="4890" max="4895" width="9.140625" style="374"/>
    <col min="4896" max="4896" width="9.5703125" style="374" bestFit="1" customWidth="1"/>
    <col min="4897" max="4902" width="9.140625" style="374"/>
    <col min="4903" max="4903" width="9.5703125" style="374" bestFit="1" customWidth="1"/>
    <col min="4904" max="5124" width="9.140625" style="374"/>
    <col min="5125" max="5125" width="19.28515625" style="374" customWidth="1"/>
    <col min="5126" max="5126" width="12.42578125" style="374" customWidth="1"/>
    <col min="5127" max="5133" width="11.42578125" style="374" customWidth="1"/>
    <col min="5134" max="5134" width="22.85546875" style="374" customWidth="1"/>
    <col min="5135" max="5135" width="18.85546875" style="374" bestFit="1" customWidth="1"/>
    <col min="5136" max="5136" width="11.42578125" style="374" customWidth="1"/>
    <col min="5137" max="5137" width="11.5703125" style="374" bestFit="1" customWidth="1"/>
    <col min="5138" max="5138" width="12.5703125" style="374" bestFit="1" customWidth="1"/>
    <col min="5139" max="5139" width="14.85546875" style="374" customWidth="1"/>
    <col min="5140" max="5144" width="9.140625" style="374"/>
    <col min="5145" max="5145" width="9.5703125" style="374" bestFit="1" customWidth="1"/>
    <col min="5146" max="5151" width="9.140625" style="374"/>
    <col min="5152" max="5152" width="9.5703125" style="374" bestFit="1" customWidth="1"/>
    <col min="5153" max="5158" width="9.140625" style="374"/>
    <col min="5159" max="5159" width="9.5703125" style="374" bestFit="1" customWidth="1"/>
    <col min="5160" max="5380" width="9.140625" style="374"/>
    <col min="5381" max="5381" width="19.28515625" style="374" customWidth="1"/>
    <col min="5382" max="5382" width="12.42578125" style="374" customWidth="1"/>
    <col min="5383" max="5389" width="11.42578125" style="374" customWidth="1"/>
    <col min="5390" max="5390" width="22.85546875" style="374" customWidth="1"/>
    <col min="5391" max="5391" width="18.85546875" style="374" bestFit="1" customWidth="1"/>
    <col min="5392" max="5392" width="11.42578125" style="374" customWidth="1"/>
    <col min="5393" max="5393" width="11.5703125" style="374" bestFit="1" customWidth="1"/>
    <col min="5394" max="5394" width="12.5703125" style="374" bestFit="1" customWidth="1"/>
    <col min="5395" max="5395" width="14.85546875" style="374" customWidth="1"/>
    <col min="5396" max="5400" width="9.140625" style="374"/>
    <col min="5401" max="5401" width="9.5703125" style="374" bestFit="1" customWidth="1"/>
    <col min="5402" max="5407" width="9.140625" style="374"/>
    <col min="5408" max="5408" width="9.5703125" style="374" bestFit="1" customWidth="1"/>
    <col min="5409" max="5414" width="9.140625" style="374"/>
    <col min="5415" max="5415" width="9.5703125" style="374" bestFit="1" customWidth="1"/>
    <col min="5416" max="5636" width="9.140625" style="374"/>
    <col min="5637" max="5637" width="19.28515625" style="374" customWidth="1"/>
    <col min="5638" max="5638" width="12.42578125" style="374" customWidth="1"/>
    <col min="5639" max="5645" width="11.42578125" style="374" customWidth="1"/>
    <col min="5646" max="5646" width="22.85546875" style="374" customWidth="1"/>
    <col min="5647" max="5647" width="18.85546875" style="374" bestFit="1" customWidth="1"/>
    <col min="5648" max="5648" width="11.42578125" style="374" customWidth="1"/>
    <col min="5649" max="5649" width="11.5703125" style="374" bestFit="1" customWidth="1"/>
    <col min="5650" max="5650" width="12.5703125" style="374" bestFit="1" customWidth="1"/>
    <col min="5651" max="5651" width="14.85546875" style="374" customWidth="1"/>
    <col min="5652" max="5656" width="9.140625" style="374"/>
    <col min="5657" max="5657" width="9.5703125" style="374" bestFit="1" customWidth="1"/>
    <col min="5658" max="5663" width="9.140625" style="374"/>
    <col min="5664" max="5664" width="9.5703125" style="374" bestFit="1" customWidth="1"/>
    <col min="5665" max="5670" width="9.140625" style="374"/>
    <col min="5671" max="5671" width="9.5703125" style="374" bestFit="1" customWidth="1"/>
    <col min="5672" max="5892" width="9.140625" style="374"/>
    <col min="5893" max="5893" width="19.28515625" style="374" customWidth="1"/>
    <col min="5894" max="5894" width="12.42578125" style="374" customWidth="1"/>
    <col min="5895" max="5901" width="11.42578125" style="374" customWidth="1"/>
    <col min="5902" max="5902" width="22.85546875" style="374" customWidth="1"/>
    <col min="5903" max="5903" width="18.85546875" style="374" bestFit="1" customWidth="1"/>
    <col min="5904" max="5904" width="11.42578125" style="374" customWidth="1"/>
    <col min="5905" max="5905" width="11.5703125" style="374" bestFit="1" customWidth="1"/>
    <col min="5906" max="5906" width="12.5703125" style="374" bestFit="1" customWidth="1"/>
    <col min="5907" max="5907" width="14.85546875" style="374" customWidth="1"/>
    <col min="5908" max="5912" width="9.140625" style="374"/>
    <col min="5913" max="5913" width="9.5703125" style="374" bestFit="1" customWidth="1"/>
    <col min="5914" max="5919" width="9.140625" style="374"/>
    <col min="5920" max="5920" width="9.5703125" style="374" bestFit="1" customWidth="1"/>
    <col min="5921" max="5926" width="9.140625" style="374"/>
    <col min="5927" max="5927" width="9.5703125" style="374" bestFit="1" customWidth="1"/>
    <col min="5928" max="6148" width="9.140625" style="374"/>
    <col min="6149" max="6149" width="19.28515625" style="374" customWidth="1"/>
    <col min="6150" max="6150" width="12.42578125" style="374" customWidth="1"/>
    <col min="6151" max="6157" width="11.42578125" style="374" customWidth="1"/>
    <col min="6158" max="6158" width="22.85546875" style="374" customWidth="1"/>
    <col min="6159" max="6159" width="18.85546875" style="374" bestFit="1" customWidth="1"/>
    <col min="6160" max="6160" width="11.42578125" style="374" customWidth="1"/>
    <col min="6161" max="6161" width="11.5703125" style="374" bestFit="1" customWidth="1"/>
    <col min="6162" max="6162" width="12.5703125" style="374" bestFit="1" customWidth="1"/>
    <col min="6163" max="6163" width="14.85546875" style="374" customWidth="1"/>
    <col min="6164" max="6168" width="9.140625" style="374"/>
    <col min="6169" max="6169" width="9.5703125" style="374" bestFit="1" customWidth="1"/>
    <col min="6170" max="6175" width="9.140625" style="374"/>
    <col min="6176" max="6176" width="9.5703125" style="374" bestFit="1" customWidth="1"/>
    <col min="6177" max="6182" width="9.140625" style="374"/>
    <col min="6183" max="6183" width="9.5703125" style="374" bestFit="1" customWidth="1"/>
    <col min="6184" max="6404" width="9.140625" style="374"/>
    <col min="6405" max="6405" width="19.28515625" style="374" customWidth="1"/>
    <col min="6406" max="6406" width="12.42578125" style="374" customWidth="1"/>
    <col min="6407" max="6413" width="11.42578125" style="374" customWidth="1"/>
    <col min="6414" max="6414" width="22.85546875" style="374" customWidth="1"/>
    <col min="6415" max="6415" width="18.85546875" style="374" bestFit="1" customWidth="1"/>
    <col min="6416" max="6416" width="11.42578125" style="374" customWidth="1"/>
    <col min="6417" max="6417" width="11.5703125" style="374" bestFit="1" customWidth="1"/>
    <col min="6418" max="6418" width="12.5703125" style="374" bestFit="1" customWidth="1"/>
    <col min="6419" max="6419" width="14.85546875" style="374" customWidth="1"/>
    <col min="6420" max="6424" width="9.140625" style="374"/>
    <col min="6425" max="6425" width="9.5703125" style="374" bestFit="1" customWidth="1"/>
    <col min="6426" max="6431" width="9.140625" style="374"/>
    <col min="6432" max="6432" width="9.5703125" style="374" bestFit="1" customWidth="1"/>
    <col min="6433" max="6438" width="9.140625" style="374"/>
    <col min="6439" max="6439" width="9.5703125" style="374" bestFit="1" customWidth="1"/>
    <col min="6440" max="6660" width="9.140625" style="374"/>
    <col min="6661" max="6661" width="19.28515625" style="374" customWidth="1"/>
    <col min="6662" max="6662" width="12.42578125" style="374" customWidth="1"/>
    <col min="6663" max="6669" width="11.42578125" style="374" customWidth="1"/>
    <col min="6670" max="6670" width="22.85546875" style="374" customWidth="1"/>
    <col min="6671" max="6671" width="18.85546875" style="374" bestFit="1" customWidth="1"/>
    <col min="6672" max="6672" width="11.42578125" style="374" customWidth="1"/>
    <col min="6673" max="6673" width="11.5703125" style="374" bestFit="1" customWidth="1"/>
    <col min="6674" max="6674" width="12.5703125" style="374" bestFit="1" customWidth="1"/>
    <col min="6675" max="6675" width="14.85546875" style="374" customWidth="1"/>
    <col min="6676" max="6680" width="9.140625" style="374"/>
    <col min="6681" max="6681" width="9.5703125" style="374" bestFit="1" customWidth="1"/>
    <col min="6682" max="6687" width="9.140625" style="374"/>
    <col min="6688" max="6688" width="9.5703125" style="374" bestFit="1" customWidth="1"/>
    <col min="6689" max="6694" width="9.140625" style="374"/>
    <col min="6695" max="6695" width="9.5703125" style="374" bestFit="1" customWidth="1"/>
    <col min="6696" max="6916" width="9.140625" style="374"/>
    <col min="6917" max="6917" width="19.28515625" style="374" customWidth="1"/>
    <col min="6918" max="6918" width="12.42578125" style="374" customWidth="1"/>
    <col min="6919" max="6925" width="11.42578125" style="374" customWidth="1"/>
    <col min="6926" max="6926" width="22.85546875" style="374" customWidth="1"/>
    <col min="6927" max="6927" width="18.85546875" style="374" bestFit="1" customWidth="1"/>
    <col min="6928" max="6928" width="11.42578125" style="374" customWidth="1"/>
    <col min="6929" max="6929" width="11.5703125" style="374" bestFit="1" customWidth="1"/>
    <col min="6930" max="6930" width="12.5703125" style="374" bestFit="1" customWidth="1"/>
    <col min="6931" max="6931" width="14.85546875" style="374" customWidth="1"/>
    <col min="6932" max="6936" width="9.140625" style="374"/>
    <col min="6937" max="6937" width="9.5703125" style="374" bestFit="1" customWidth="1"/>
    <col min="6938" max="6943" width="9.140625" style="374"/>
    <col min="6944" max="6944" width="9.5703125" style="374" bestFit="1" customWidth="1"/>
    <col min="6945" max="6950" width="9.140625" style="374"/>
    <col min="6951" max="6951" width="9.5703125" style="374" bestFit="1" customWidth="1"/>
    <col min="6952" max="7172" width="9.140625" style="374"/>
    <col min="7173" max="7173" width="19.28515625" style="374" customWidth="1"/>
    <col min="7174" max="7174" width="12.42578125" style="374" customWidth="1"/>
    <col min="7175" max="7181" width="11.42578125" style="374" customWidth="1"/>
    <col min="7182" max="7182" width="22.85546875" style="374" customWidth="1"/>
    <col min="7183" max="7183" width="18.85546875" style="374" bestFit="1" customWidth="1"/>
    <col min="7184" max="7184" width="11.42578125" style="374" customWidth="1"/>
    <col min="7185" max="7185" width="11.5703125" style="374" bestFit="1" customWidth="1"/>
    <col min="7186" max="7186" width="12.5703125" style="374" bestFit="1" customWidth="1"/>
    <col min="7187" max="7187" width="14.85546875" style="374" customWidth="1"/>
    <col min="7188" max="7192" width="9.140625" style="374"/>
    <col min="7193" max="7193" width="9.5703125" style="374" bestFit="1" customWidth="1"/>
    <col min="7194" max="7199" width="9.140625" style="374"/>
    <col min="7200" max="7200" width="9.5703125" style="374" bestFit="1" customWidth="1"/>
    <col min="7201" max="7206" width="9.140625" style="374"/>
    <col min="7207" max="7207" width="9.5703125" style="374" bestFit="1" customWidth="1"/>
    <col min="7208" max="7428" width="9.140625" style="374"/>
    <col min="7429" max="7429" width="19.28515625" style="374" customWidth="1"/>
    <col min="7430" max="7430" width="12.42578125" style="374" customWidth="1"/>
    <col min="7431" max="7437" width="11.42578125" style="374" customWidth="1"/>
    <col min="7438" max="7438" width="22.85546875" style="374" customWidth="1"/>
    <col min="7439" max="7439" width="18.85546875" style="374" bestFit="1" customWidth="1"/>
    <col min="7440" max="7440" width="11.42578125" style="374" customWidth="1"/>
    <col min="7441" max="7441" width="11.5703125" style="374" bestFit="1" customWidth="1"/>
    <col min="7442" max="7442" width="12.5703125" style="374" bestFit="1" customWidth="1"/>
    <col min="7443" max="7443" width="14.85546875" style="374" customWidth="1"/>
    <col min="7444" max="7448" width="9.140625" style="374"/>
    <col min="7449" max="7449" width="9.5703125" style="374" bestFit="1" customWidth="1"/>
    <col min="7450" max="7455" width="9.140625" style="374"/>
    <col min="7456" max="7456" width="9.5703125" style="374" bestFit="1" customWidth="1"/>
    <col min="7457" max="7462" width="9.140625" style="374"/>
    <col min="7463" max="7463" width="9.5703125" style="374" bestFit="1" customWidth="1"/>
    <col min="7464" max="7684" width="9.140625" style="374"/>
    <col min="7685" max="7685" width="19.28515625" style="374" customWidth="1"/>
    <col min="7686" max="7686" width="12.42578125" style="374" customWidth="1"/>
    <col min="7687" max="7693" width="11.42578125" style="374" customWidth="1"/>
    <col min="7694" max="7694" width="22.85546875" style="374" customWidth="1"/>
    <col min="7695" max="7695" width="18.85546875" style="374" bestFit="1" customWidth="1"/>
    <col min="7696" max="7696" width="11.42578125" style="374" customWidth="1"/>
    <col min="7697" max="7697" width="11.5703125" style="374" bestFit="1" customWidth="1"/>
    <col min="7698" max="7698" width="12.5703125" style="374" bestFit="1" customWidth="1"/>
    <col min="7699" max="7699" width="14.85546875" style="374" customWidth="1"/>
    <col min="7700" max="7704" width="9.140625" style="374"/>
    <col min="7705" max="7705" width="9.5703125" style="374" bestFit="1" customWidth="1"/>
    <col min="7706" max="7711" width="9.140625" style="374"/>
    <col min="7712" max="7712" width="9.5703125" style="374" bestFit="1" customWidth="1"/>
    <col min="7713" max="7718" width="9.140625" style="374"/>
    <col min="7719" max="7719" width="9.5703125" style="374" bestFit="1" customWidth="1"/>
    <col min="7720" max="7940" width="9.140625" style="374"/>
    <col min="7941" max="7941" width="19.28515625" style="374" customWidth="1"/>
    <col min="7942" max="7942" width="12.42578125" style="374" customWidth="1"/>
    <col min="7943" max="7949" width="11.42578125" style="374" customWidth="1"/>
    <col min="7950" max="7950" width="22.85546875" style="374" customWidth="1"/>
    <col min="7951" max="7951" width="18.85546875" style="374" bestFit="1" customWidth="1"/>
    <col min="7952" max="7952" width="11.42578125" style="374" customWidth="1"/>
    <col min="7953" max="7953" width="11.5703125" style="374" bestFit="1" customWidth="1"/>
    <col min="7954" max="7954" width="12.5703125" style="374" bestFit="1" customWidth="1"/>
    <col min="7955" max="7955" width="14.85546875" style="374" customWidth="1"/>
    <col min="7956" max="7960" width="9.140625" style="374"/>
    <col min="7961" max="7961" width="9.5703125" style="374" bestFit="1" customWidth="1"/>
    <col min="7962" max="7967" width="9.140625" style="374"/>
    <col min="7968" max="7968" width="9.5703125" style="374" bestFit="1" customWidth="1"/>
    <col min="7969" max="7974" width="9.140625" style="374"/>
    <col min="7975" max="7975" width="9.5703125" style="374" bestFit="1" customWidth="1"/>
    <col min="7976" max="8196" width="9.140625" style="374"/>
    <col min="8197" max="8197" width="19.28515625" style="374" customWidth="1"/>
    <col min="8198" max="8198" width="12.42578125" style="374" customWidth="1"/>
    <col min="8199" max="8205" width="11.42578125" style="374" customWidth="1"/>
    <col min="8206" max="8206" width="22.85546875" style="374" customWidth="1"/>
    <col min="8207" max="8207" width="18.85546875" style="374" bestFit="1" customWidth="1"/>
    <col min="8208" max="8208" width="11.42578125" style="374" customWidth="1"/>
    <col min="8209" max="8209" width="11.5703125" style="374" bestFit="1" customWidth="1"/>
    <col min="8210" max="8210" width="12.5703125" style="374" bestFit="1" customWidth="1"/>
    <col min="8211" max="8211" width="14.85546875" style="374" customWidth="1"/>
    <col min="8212" max="8216" width="9.140625" style="374"/>
    <col min="8217" max="8217" width="9.5703125" style="374" bestFit="1" customWidth="1"/>
    <col min="8218" max="8223" width="9.140625" style="374"/>
    <col min="8224" max="8224" width="9.5703125" style="374" bestFit="1" customWidth="1"/>
    <col min="8225" max="8230" width="9.140625" style="374"/>
    <col min="8231" max="8231" width="9.5703125" style="374" bestFit="1" customWidth="1"/>
    <col min="8232" max="8452" width="9.140625" style="374"/>
    <col min="8453" max="8453" width="19.28515625" style="374" customWidth="1"/>
    <col min="8454" max="8454" width="12.42578125" style="374" customWidth="1"/>
    <col min="8455" max="8461" width="11.42578125" style="374" customWidth="1"/>
    <col min="8462" max="8462" width="22.85546875" style="374" customWidth="1"/>
    <col min="8463" max="8463" width="18.85546875" style="374" bestFit="1" customWidth="1"/>
    <col min="8464" max="8464" width="11.42578125" style="374" customWidth="1"/>
    <col min="8465" max="8465" width="11.5703125" style="374" bestFit="1" customWidth="1"/>
    <col min="8466" max="8466" width="12.5703125" style="374" bestFit="1" customWidth="1"/>
    <col min="8467" max="8467" width="14.85546875" style="374" customWidth="1"/>
    <col min="8468" max="8472" width="9.140625" style="374"/>
    <col min="8473" max="8473" width="9.5703125" style="374" bestFit="1" customWidth="1"/>
    <col min="8474" max="8479" width="9.140625" style="374"/>
    <col min="8480" max="8480" width="9.5703125" style="374" bestFit="1" customWidth="1"/>
    <col min="8481" max="8486" width="9.140625" style="374"/>
    <col min="8487" max="8487" width="9.5703125" style="374" bestFit="1" customWidth="1"/>
    <col min="8488" max="8708" width="9.140625" style="374"/>
    <col min="8709" max="8709" width="19.28515625" style="374" customWidth="1"/>
    <col min="8710" max="8710" width="12.42578125" style="374" customWidth="1"/>
    <col min="8711" max="8717" width="11.42578125" style="374" customWidth="1"/>
    <col min="8718" max="8718" width="22.85546875" style="374" customWidth="1"/>
    <col min="8719" max="8719" width="18.85546875" style="374" bestFit="1" customWidth="1"/>
    <col min="8720" max="8720" width="11.42578125" style="374" customWidth="1"/>
    <col min="8721" max="8721" width="11.5703125" style="374" bestFit="1" customWidth="1"/>
    <col min="8722" max="8722" width="12.5703125" style="374" bestFit="1" customWidth="1"/>
    <col min="8723" max="8723" width="14.85546875" style="374" customWidth="1"/>
    <col min="8724" max="8728" width="9.140625" style="374"/>
    <col min="8729" max="8729" width="9.5703125" style="374" bestFit="1" customWidth="1"/>
    <col min="8730" max="8735" width="9.140625" style="374"/>
    <col min="8736" max="8736" width="9.5703125" style="374" bestFit="1" customWidth="1"/>
    <col min="8737" max="8742" width="9.140625" style="374"/>
    <col min="8743" max="8743" width="9.5703125" style="374" bestFit="1" customWidth="1"/>
    <col min="8744" max="8964" width="9.140625" style="374"/>
    <col min="8965" max="8965" width="19.28515625" style="374" customWidth="1"/>
    <col min="8966" max="8966" width="12.42578125" style="374" customWidth="1"/>
    <col min="8967" max="8973" width="11.42578125" style="374" customWidth="1"/>
    <col min="8974" max="8974" width="22.85546875" style="374" customWidth="1"/>
    <col min="8975" max="8975" width="18.85546875" style="374" bestFit="1" customWidth="1"/>
    <col min="8976" max="8976" width="11.42578125" style="374" customWidth="1"/>
    <col min="8977" max="8977" width="11.5703125" style="374" bestFit="1" customWidth="1"/>
    <col min="8978" max="8978" width="12.5703125" style="374" bestFit="1" customWidth="1"/>
    <col min="8979" max="8979" width="14.85546875" style="374" customWidth="1"/>
    <col min="8980" max="8984" width="9.140625" style="374"/>
    <col min="8985" max="8985" width="9.5703125" style="374" bestFit="1" customWidth="1"/>
    <col min="8986" max="8991" width="9.140625" style="374"/>
    <col min="8992" max="8992" width="9.5703125" style="374" bestFit="1" customWidth="1"/>
    <col min="8993" max="8998" width="9.140625" style="374"/>
    <col min="8999" max="8999" width="9.5703125" style="374" bestFit="1" customWidth="1"/>
    <col min="9000" max="9220" width="9.140625" style="374"/>
    <col min="9221" max="9221" width="19.28515625" style="374" customWidth="1"/>
    <col min="9222" max="9222" width="12.42578125" style="374" customWidth="1"/>
    <col min="9223" max="9229" width="11.42578125" style="374" customWidth="1"/>
    <col min="9230" max="9230" width="22.85546875" style="374" customWidth="1"/>
    <col min="9231" max="9231" width="18.85546875" style="374" bestFit="1" customWidth="1"/>
    <col min="9232" max="9232" width="11.42578125" style="374" customWidth="1"/>
    <col min="9233" max="9233" width="11.5703125" style="374" bestFit="1" customWidth="1"/>
    <col min="9234" max="9234" width="12.5703125" style="374" bestFit="1" customWidth="1"/>
    <col min="9235" max="9235" width="14.85546875" style="374" customWidth="1"/>
    <col min="9236" max="9240" width="9.140625" style="374"/>
    <col min="9241" max="9241" width="9.5703125" style="374" bestFit="1" customWidth="1"/>
    <col min="9242" max="9247" width="9.140625" style="374"/>
    <col min="9248" max="9248" width="9.5703125" style="374" bestFit="1" customWidth="1"/>
    <col min="9249" max="9254" width="9.140625" style="374"/>
    <col min="9255" max="9255" width="9.5703125" style="374" bestFit="1" customWidth="1"/>
    <col min="9256" max="9476" width="9.140625" style="374"/>
    <col min="9477" max="9477" width="19.28515625" style="374" customWidth="1"/>
    <col min="9478" max="9478" width="12.42578125" style="374" customWidth="1"/>
    <col min="9479" max="9485" width="11.42578125" style="374" customWidth="1"/>
    <col min="9486" max="9486" width="22.85546875" style="374" customWidth="1"/>
    <col min="9487" max="9487" width="18.85546875" style="374" bestFit="1" customWidth="1"/>
    <col min="9488" max="9488" width="11.42578125" style="374" customWidth="1"/>
    <col min="9489" max="9489" width="11.5703125" style="374" bestFit="1" customWidth="1"/>
    <col min="9490" max="9490" width="12.5703125" style="374" bestFit="1" customWidth="1"/>
    <col min="9491" max="9491" width="14.85546875" style="374" customWidth="1"/>
    <col min="9492" max="9496" width="9.140625" style="374"/>
    <col min="9497" max="9497" width="9.5703125" style="374" bestFit="1" customWidth="1"/>
    <col min="9498" max="9503" width="9.140625" style="374"/>
    <col min="9504" max="9504" width="9.5703125" style="374" bestFit="1" customWidth="1"/>
    <col min="9505" max="9510" width="9.140625" style="374"/>
    <col min="9511" max="9511" width="9.5703125" style="374" bestFit="1" customWidth="1"/>
    <col min="9512" max="9732" width="9.140625" style="374"/>
    <col min="9733" max="9733" width="19.28515625" style="374" customWidth="1"/>
    <col min="9734" max="9734" width="12.42578125" style="374" customWidth="1"/>
    <col min="9735" max="9741" width="11.42578125" style="374" customWidth="1"/>
    <col min="9742" max="9742" width="22.85546875" style="374" customWidth="1"/>
    <col min="9743" max="9743" width="18.85546875" style="374" bestFit="1" customWidth="1"/>
    <col min="9744" max="9744" width="11.42578125" style="374" customWidth="1"/>
    <col min="9745" max="9745" width="11.5703125" style="374" bestFit="1" customWidth="1"/>
    <col min="9746" max="9746" width="12.5703125" style="374" bestFit="1" customWidth="1"/>
    <col min="9747" max="9747" width="14.85546875" style="374" customWidth="1"/>
    <col min="9748" max="9752" width="9.140625" style="374"/>
    <col min="9753" max="9753" width="9.5703125" style="374" bestFit="1" customWidth="1"/>
    <col min="9754" max="9759" width="9.140625" style="374"/>
    <col min="9760" max="9760" width="9.5703125" style="374" bestFit="1" customWidth="1"/>
    <col min="9761" max="9766" width="9.140625" style="374"/>
    <col min="9767" max="9767" width="9.5703125" style="374" bestFit="1" customWidth="1"/>
    <col min="9768" max="9988" width="9.140625" style="374"/>
    <col min="9989" max="9989" width="19.28515625" style="374" customWidth="1"/>
    <col min="9990" max="9990" width="12.42578125" style="374" customWidth="1"/>
    <col min="9991" max="9997" width="11.42578125" style="374" customWidth="1"/>
    <col min="9998" max="9998" width="22.85546875" style="374" customWidth="1"/>
    <col min="9999" max="9999" width="18.85546875" style="374" bestFit="1" customWidth="1"/>
    <col min="10000" max="10000" width="11.42578125" style="374" customWidth="1"/>
    <col min="10001" max="10001" width="11.5703125" style="374" bestFit="1" customWidth="1"/>
    <col min="10002" max="10002" width="12.5703125" style="374" bestFit="1" customWidth="1"/>
    <col min="10003" max="10003" width="14.85546875" style="374" customWidth="1"/>
    <col min="10004" max="10008" width="9.140625" style="374"/>
    <col min="10009" max="10009" width="9.5703125" style="374" bestFit="1" customWidth="1"/>
    <col min="10010" max="10015" width="9.140625" style="374"/>
    <col min="10016" max="10016" width="9.5703125" style="374" bestFit="1" customWidth="1"/>
    <col min="10017" max="10022" width="9.140625" style="374"/>
    <col min="10023" max="10023" width="9.5703125" style="374" bestFit="1" customWidth="1"/>
    <col min="10024" max="10244" width="9.140625" style="374"/>
    <col min="10245" max="10245" width="19.28515625" style="374" customWidth="1"/>
    <col min="10246" max="10246" width="12.42578125" style="374" customWidth="1"/>
    <col min="10247" max="10253" width="11.42578125" style="374" customWidth="1"/>
    <col min="10254" max="10254" width="22.85546875" style="374" customWidth="1"/>
    <col min="10255" max="10255" width="18.85546875" style="374" bestFit="1" customWidth="1"/>
    <col min="10256" max="10256" width="11.42578125" style="374" customWidth="1"/>
    <col min="10257" max="10257" width="11.5703125" style="374" bestFit="1" customWidth="1"/>
    <col min="10258" max="10258" width="12.5703125" style="374" bestFit="1" customWidth="1"/>
    <col min="10259" max="10259" width="14.85546875" style="374" customWidth="1"/>
    <col min="10260" max="10264" width="9.140625" style="374"/>
    <col min="10265" max="10265" width="9.5703125" style="374" bestFit="1" customWidth="1"/>
    <col min="10266" max="10271" width="9.140625" style="374"/>
    <col min="10272" max="10272" width="9.5703125" style="374" bestFit="1" customWidth="1"/>
    <col min="10273" max="10278" width="9.140625" style="374"/>
    <col min="10279" max="10279" width="9.5703125" style="374" bestFit="1" customWidth="1"/>
    <col min="10280" max="10500" width="9.140625" style="374"/>
    <col min="10501" max="10501" width="19.28515625" style="374" customWidth="1"/>
    <col min="10502" max="10502" width="12.42578125" style="374" customWidth="1"/>
    <col min="10503" max="10509" width="11.42578125" style="374" customWidth="1"/>
    <col min="10510" max="10510" width="22.85546875" style="374" customWidth="1"/>
    <col min="10511" max="10511" width="18.85546875" style="374" bestFit="1" customWidth="1"/>
    <col min="10512" max="10512" width="11.42578125" style="374" customWidth="1"/>
    <col min="10513" max="10513" width="11.5703125" style="374" bestFit="1" customWidth="1"/>
    <col min="10514" max="10514" width="12.5703125" style="374" bestFit="1" customWidth="1"/>
    <col min="10515" max="10515" width="14.85546875" style="374" customWidth="1"/>
    <col min="10516" max="10520" width="9.140625" style="374"/>
    <col min="10521" max="10521" width="9.5703125" style="374" bestFit="1" customWidth="1"/>
    <col min="10522" max="10527" width="9.140625" style="374"/>
    <col min="10528" max="10528" width="9.5703125" style="374" bestFit="1" customWidth="1"/>
    <col min="10529" max="10534" width="9.140625" style="374"/>
    <col min="10535" max="10535" width="9.5703125" style="374" bestFit="1" customWidth="1"/>
    <col min="10536" max="10756" width="9.140625" style="374"/>
    <col min="10757" max="10757" width="19.28515625" style="374" customWidth="1"/>
    <col min="10758" max="10758" width="12.42578125" style="374" customWidth="1"/>
    <col min="10759" max="10765" width="11.42578125" style="374" customWidth="1"/>
    <col min="10766" max="10766" width="22.85546875" style="374" customWidth="1"/>
    <col min="10767" max="10767" width="18.85546875" style="374" bestFit="1" customWidth="1"/>
    <col min="10768" max="10768" width="11.42578125" style="374" customWidth="1"/>
    <col min="10769" max="10769" width="11.5703125" style="374" bestFit="1" customWidth="1"/>
    <col min="10770" max="10770" width="12.5703125" style="374" bestFit="1" customWidth="1"/>
    <col min="10771" max="10771" width="14.85546875" style="374" customWidth="1"/>
    <col min="10772" max="10776" width="9.140625" style="374"/>
    <col min="10777" max="10777" width="9.5703125" style="374" bestFit="1" customWidth="1"/>
    <col min="10778" max="10783" width="9.140625" style="374"/>
    <col min="10784" max="10784" width="9.5703125" style="374" bestFit="1" customWidth="1"/>
    <col min="10785" max="10790" width="9.140625" style="374"/>
    <col min="10791" max="10791" width="9.5703125" style="374" bestFit="1" customWidth="1"/>
    <col min="10792" max="11012" width="9.140625" style="374"/>
    <col min="11013" max="11013" width="19.28515625" style="374" customWidth="1"/>
    <col min="11014" max="11014" width="12.42578125" style="374" customWidth="1"/>
    <col min="11015" max="11021" width="11.42578125" style="374" customWidth="1"/>
    <col min="11022" max="11022" width="22.85546875" style="374" customWidth="1"/>
    <col min="11023" max="11023" width="18.85546875" style="374" bestFit="1" customWidth="1"/>
    <col min="11024" max="11024" width="11.42578125" style="374" customWidth="1"/>
    <col min="11025" max="11025" width="11.5703125" style="374" bestFit="1" customWidth="1"/>
    <col min="11026" max="11026" width="12.5703125" style="374" bestFit="1" customWidth="1"/>
    <col min="11027" max="11027" width="14.85546875" style="374" customWidth="1"/>
    <col min="11028" max="11032" width="9.140625" style="374"/>
    <col min="11033" max="11033" width="9.5703125" style="374" bestFit="1" customWidth="1"/>
    <col min="11034" max="11039" width="9.140625" style="374"/>
    <col min="11040" max="11040" width="9.5703125" style="374" bestFit="1" customWidth="1"/>
    <col min="11041" max="11046" width="9.140625" style="374"/>
    <col min="11047" max="11047" width="9.5703125" style="374" bestFit="1" customWidth="1"/>
    <col min="11048" max="11268" width="9.140625" style="374"/>
    <col min="11269" max="11269" width="19.28515625" style="374" customWidth="1"/>
    <col min="11270" max="11270" width="12.42578125" style="374" customWidth="1"/>
    <col min="11271" max="11277" width="11.42578125" style="374" customWidth="1"/>
    <col min="11278" max="11278" width="22.85546875" style="374" customWidth="1"/>
    <col min="11279" max="11279" width="18.85546875" style="374" bestFit="1" customWidth="1"/>
    <col min="11280" max="11280" width="11.42578125" style="374" customWidth="1"/>
    <col min="11281" max="11281" width="11.5703125" style="374" bestFit="1" customWidth="1"/>
    <col min="11282" max="11282" width="12.5703125" style="374" bestFit="1" customWidth="1"/>
    <col min="11283" max="11283" width="14.85546875" style="374" customWidth="1"/>
    <col min="11284" max="11288" width="9.140625" style="374"/>
    <col min="11289" max="11289" width="9.5703125" style="374" bestFit="1" customWidth="1"/>
    <col min="11290" max="11295" width="9.140625" style="374"/>
    <col min="11296" max="11296" width="9.5703125" style="374" bestFit="1" customWidth="1"/>
    <col min="11297" max="11302" width="9.140625" style="374"/>
    <col min="11303" max="11303" width="9.5703125" style="374" bestFit="1" customWidth="1"/>
    <col min="11304" max="11524" width="9.140625" style="374"/>
    <col min="11525" max="11525" width="19.28515625" style="374" customWidth="1"/>
    <col min="11526" max="11526" width="12.42578125" style="374" customWidth="1"/>
    <col min="11527" max="11533" width="11.42578125" style="374" customWidth="1"/>
    <col min="11534" max="11534" width="22.85546875" style="374" customWidth="1"/>
    <col min="11535" max="11535" width="18.85546875" style="374" bestFit="1" customWidth="1"/>
    <col min="11536" max="11536" width="11.42578125" style="374" customWidth="1"/>
    <col min="11537" max="11537" width="11.5703125" style="374" bestFit="1" customWidth="1"/>
    <col min="11538" max="11538" width="12.5703125" style="374" bestFit="1" customWidth="1"/>
    <col min="11539" max="11539" width="14.85546875" style="374" customWidth="1"/>
    <col min="11540" max="11544" width="9.140625" style="374"/>
    <col min="11545" max="11545" width="9.5703125" style="374" bestFit="1" customWidth="1"/>
    <col min="11546" max="11551" width="9.140625" style="374"/>
    <col min="11552" max="11552" width="9.5703125" style="374" bestFit="1" customWidth="1"/>
    <col min="11553" max="11558" width="9.140625" style="374"/>
    <col min="11559" max="11559" width="9.5703125" style="374" bestFit="1" customWidth="1"/>
    <col min="11560" max="11780" width="9.140625" style="374"/>
    <col min="11781" max="11781" width="19.28515625" style="374" customWidth="1"/>
    <col min="11782" max="11782" width="12.42578125" style="374" customWidth="1"/>
    <col min="11783" max="11789" width="11.42578125" style="374" customWidth="1"/>
    <col min="11790" max="11790" width="22.85546875" style="374" customWidth="1"/>
    <col min="11791" max="11791" width="18.85546875" style="374" bestFit="1" customWidth="1"/>
    <col min="11792" max="11792" width="11.42578125" style="374" customWidth="1"/>
    <col min="11793" max="11793" width="11.5703125" style="374" bestFit="1" customWidth="1"/>
    <col min="11794" max="11794" width="12.5703125" style="374" bestFit="1" customWidth="1"/>
    <col min="11795" max="11795" width="14.85546875" style="374" customWidth="1"/>
    <col min="11796" max="11800" width="9.140625" style="374"/>
    <col min="11801" max="11801" width="9.5703125" style="374" bestFit="1" customWidth="1"/>
    <col min="11802" max="11807" width="9.140625" style="374"/>
    <col min="11808" max="11808" width="9.5703125" style="374" bestFit="1" customWidth="1"/>
    <col min="11809" max="11814" width="9.140625" style="374"/>
    <col min="11815" max="11815" width="9.5703125" style="374" bestFit="1" customWidth="1"/>
    <col min="11816" max="12036" width="9.140625" style="374"/>
    <col min="12037" max="12037" width="19.28515625" style="374" customWidth="1"/>
    <col min="12038" max="12038" width="12.42578125" style="374" customWidth="1"/>
    <col min="12039" max="12045" width="11.42578125" style="374" customWidth="1"/>
    <col min="12046" max="12046" width="22.85546875" style="374" customWidth="1"/>
    <col min="12047" max="12047" width="18.85546875" style="374" bestFit="1" customWidth="1"/>
    <col min="12048" max="12048" width="11.42578125" style="374" customWidth="1"/>
    <col min="12049" max="12049" width="11.5703125" style="374" bestFit="1" customWidth="1"/>
    <col min="12050" max="12050" width="12.5703125" style="374" bestFit="1" customWidth="1"/>
    <col min="12051" max="12051" width="14.85546875" style="374" customWidth="1"/>
    <col min="12052" max="12056" width="9.140625" style="374"/>
    <col min="12057" max="12057" width="9.5703125" style="374" bestFit="1" customWidth="1"/>
    <col min="12058" max="12063" width="9.140625" style="374"/>
    <col min="12064" max="12064" width="9.5703125" style="374" bestFit="1" customWidth="1"/>
    <col min="12065" max="12070" width="9.140625" style="374"/>
    <col min="12071" max="12071" width="9.5703125" style="374" bestFit="1" customWidth="1"/>
    <col min="12072" max="12292" width="9.140625" style="374"/>
    <col min="12293" max="12293" width="19.28515625" style="374" customWidth="1"/>
    <col min="12294" max="12294" width="12.42578125" style="374" customWidth="1"/>
    <col min="12295" max="12301" width="11.42578125" style="374" customWidth="1"/>
    <col min="12302" max="12302" width="22.85546875" style="374" customWidth="1"/>
    <col min="12303" max="12303" width="18.85546875" style="374" bestFit="1" customWidth="1"/>
    <col min="12304" max="12304" width="11.42578125" style="374" customWidth="1"/>
    <col min="12305" max="12305" width="11.5703125" style="374" bestFit="1" customWidth="1"/>
    <col min="12306" max="12306" width="12.5703125" style="374" bestFit="1" customWidth="1"/>
    <col min="12307" max="12307" width="14.85546875" style="374" customWidth="1"/>
    <col min="12308" max="12312" width="9.140625" style="374"/>
    <col min="12313" max="12313" width="9.5703125" style="374" bestFit="1" customWidth="1"/>
    <col min="12314" max="12319" width="9.140625" style="374"/>
    <col min="12320" max="12320" width="9.5703125" style="374" bestFit="1" customWidth="1"/>
    <col min="12321" max="12326" width="9.140625" style="374"/>
    <col min="12327" max="12327" width="9.5703125" style="374" bestFit="1" customWidth="1"/>
    <col min="12328" max="12548" width="9.140625" style="374"/>
    <col min="12549" max="12549" width="19.28515625" style="374" customWidth="1"/>
    <col min="12550" max="12550" width="12.42578125" style="374" customWidth="1"/>
    <col min="12551" max="12557" width="11.42578125" style="374" customWidth="1"/>
    <col min="12558" max="12558" width="22.85546875" style="374" customWidth="1"/>
    <col min="12559" max="12559" width="18.85546875" style="374" bestFit="1" customWidth="1"/>
    <col min="12560" max="12560" width="11.42578125" style="374" customWidth="1"/>
    <col min="12561" max="12561" width="11.5703125" style="374" bestFit="1" customWidth="1"/>
    <col min="12562" max="12562" width="12.5703125" style="374" bestFit="1" customWidth="1"/>
    <col min="12563" max="12563" width="14.85546875" style="374" customWidth="1"/>
    <col min="12564" max="12568" width="9.140625" style="374"/>
    <col min="12569" max="12569" width="9.5703125" style="374" bestFit="1" customWidth="1"/>
    <col min="12570" max="12575" width="9.140625" style="374"/>
    <col min="12576" max="12576" width="9.5703125" style="374" bestFit="1" customWidth="1"/>
    <col min="12577" max="12582" width="9.140625" style="374"/>
    <col min="12583" max="12583" width="9.5703125" style="374" bestFit="1" customWidth="1"/>
    <col min="12584" max="12804" width="9.140625" style="374"/>
    <col min="12805" max="12805" width="19.28515625" style="374" customWidth="1"/>
    <col min="12806" max="12806" width="12.42578125" style="374" customWidth="1"/>
    <col min="12807" max="12813" width="11.42578125" style="374" customWidth="1"/>
    <col min="12814" max="12814" width="22.85546875" style="374" customWidth="1"/>
    <col min="12815" max="12815" width="18.85546875" style="374" bestFit="1" customWidth="1"/>
    <col min="12816" max="12816" width="11.42578125" style="374" customWidth="1"/>
    <col min="12817" max="12817" width="11.5703125" style="374" bestFit="1" customWidth="1"/>
    <col min="12818" max="12818" width="12.5703125" style="374" bestFit="1" customWidth="1"/>
    <col min="12819" max="12819" width="14.85546875" style="374" customWidth="1"/>
    <col min="12820" max="12824" width="9.140625" style="374"/>
    <col min="12825" max="12825" width="9.5703125" style="374" bestFit="1" customWidth="1"/>
    <col min="12826" max="12831" width="9.140625" style="374"/>
    <col min="12832" max="12832" width="9.5703125" style="374" bestFit="1" customWidth="1"/>
    <col min="12833" max="12838" width="9.140625" style="374"/>
    <col min="12839" max="12839" width="9.5703125" style="374" bestFit="1" customWidth="1"/>
    <col min="12840" max="13060" width="9.140625" style="374"/>
    <col min="13061" max="13061" width="19.28515625" style="374" customWidth="1"/>
    <col min="13062" max="13062" width="12.42578125" style="374" customWidth="1"/>
    <col min="13063" max="13069" width="11.42578125" style="374" customWidth="1"/>
    <col min="13070" max="13070" width="22.85546875" style="374" customWidth="1"/>
    <col min="13071" max="13071" width="18.85546875" style="374" bestFit="1" customWidth="1"/>
    <col min="13072" max="13072" width="11.42578125" style="374" customWidth="1"/>
    <col min="13073" max="13073" width="11.5703125" style="374" bestFit="1" customWidth="1"/>
    <col min="13074" max="13074" width="12.5703125" style="374" bestFit="1" customWidth="1"/>
    <col min="13075" max="13075" width="14.85546875" style="374" customWidth="1"/>
    <col min="13076" max="13080" width="9.140625" style="374"/>
    <col min="13081" max="13081" width="9.5703125" style="374" bestFit="1" customWidth="1"/>
    <col min="13082" max="13087" width="9.140625" style="374"/>
    <col min="13088" max="13088" width="9.5703125" style="374" bestFit="1" customWidth="1"/>
    <col min="13089" max="13094" width="9.140625" style="374"/>
    <col min="13095" max="13095" width="9.5703125" style="374" bestFit="1" customWidth="1"/>
    <col min="13096" max="13316" width="9.140625" style="374"/>
    <col min="13317" max="13317" width="19.28515625" style="374" customWidth="1"/>
    <col min="13318" max="13318" width="12.42578125" style="374" customWidth="1"/>
    <col min="13319" max="13325" width="11.42578125" style="374" customWidth="1"/>
    <col min="13326" max="13326" width="22.85546875" style="374" customWidth="1"/>
    <col min="13327" max="13327" width="18.85546875" style="374" bestFit="1" customWidth="1"/>
    <col min="13328" max="13328" width="11.42578125" style="374" customWidth="1"/>
    <col min="13329" max="13329" width="11.5703125" style="374" bestFit="1" customWidth="1"/>
    <col min="13330" max="13330" width="12.5703125" style="374" bestFit="1" customWidth="1"/>
    <col min="13331" max="13331" width="14.85546875" style="374" customWidth="1"/>
    <col min="13332" max="13336" width="9.140625" style="374"/>
    <col min="13337" max="13337" width="9.5703125" style="374" bestFit="1" customWidth="1"/>
    <col min="13338" max="13343" width="9.140625" style="374"/>
    <col min="13344" max="13344" width="9.5703125" style="374" bestFit="1" customWidth="1"/>
    <col min="13345" max="13350" width="9.140625" style="374"/>
    <col min="13351" max="13351" width="9.5703125" style="374" bestFit="1" customWidth="1"/>
    <col min="13352" max="13572" width="9.140625" style="374"/>
    <col min="13573" max="13573" width="19.28515625" style="374" customWidth="1"/>
    <col min="13574" max="13574" width="12.42578125" style="374" customWidth="1"/>
    <col min="13575" max="13581" width="11.42578125" style="374" customWidth="1"/>
    <col min="13582" max="13582" width="22.85546875" style="374" customWidth="1"/>
    <col min="13583" max="13583" width="18.85546875" style="374" bestFit="1" customWidth="1"/>
    <col min="13584" max="13584" width="11.42578125" style="374" customWidth="1"/>
    <col min="13585" max="13585" width="11.5703125" style="374" bestFit="1" customWidth="1"/>
    <col min="13586" max="13586" width="12.5703125" style="374" bestFit="1" customWidth="1"/>
    <col min="13587" max="13587" width="14.85546875" style="374" customWidth="1"/>
    <col min="13588" max="13592" width="9.140625" style="374"/>
    <col min="13593" max="13593" width="9.5703125" style="374" bestFit="1" customWidth="1"/>
    <col min="13594" max="13599" width="9.140625" style="374"/>
    <col min="13600" max="13600" width="9.5703125" style="374" bestFit="1" customWidth="1"/>
    <col min="13601" max="13606" width="9.140625" style="374"/>
    <col min="13607" max="13607" width="9.5703125" style="374" bestFit="1" customWidth="1"/>
    <col min="13608" max="13828" width="9.140625" style="374"/>
    <col min="13829" max="13829" width="19.28515625" style="374" customWidth="1"/>
    <col min="13830" max="13830" width="12.42578125" style="374" customWidth="1"/>
    <col min="13831" max="13837" width="11.42578125" style="374" customWidth="1"/>
    <col min="13838" max="13838" width="22.85546875" style="374" customWidth="1"/>
    <col min="13839" max="13839" width="18.85546875" style="374" bestFit="1" customWidth="1"/>
    <col min="13840" max="13840" width="11.42578125" style="374" customWidth="1"/>
    <col min="13841" max="13841" width="11.5703125" style="374" bestFit="1" customWidth="1"/>
    <col min="13842" max="13842" width="12.5703125" style="374" bestFit="1" customWidth="1"/>
    <col min="13843" max="13843" width="14.85546875" style="374" customWidth="1"/>
    <col min="13844" max="13848" width="9.140625" style="374"/>
    <col min="13849" max="13849" width="9.5703125" style="374" bestFit="1" customWidth="1"/>
    <col min="13850" max="13855" width="9.140625" style="374"/>
    <col min="13856" max="13856" width="9.5703125" style="374" bestFit="1" customWidth="1"/>
    <col min="13857" max="13862" width="9.140625" style="374"/>
    <col min="13863" max="13863" width="9.5703125" style="374" bestFit="1" customWidth="1"/>
    <col min="13864" max="14084" width="9.140625" style="374"/>
    <col min="14085" max="14085" width="19.28515625" style="374" customWidth="1"/>
    <col min="14086" max="14086" width="12.42578125" style="374" customWidth="1"/>
    <col min="14087" max="14093" width="11.42578125" style="374" customWidth="1"/>
    <col min="14094" max="14094" width="22.85546875" style="374" customWidth="1"/>
    <col min="14095" max="14095" width="18.85546875" style="374" bestFit="1" customWidth="1"/>
    <col min="14096" max="14096" width="11.42578125" style="374" customWidth="1"/>
    <col min="14097" max="14097" width="11.5703125" style="374" bestFit="1" customWidth="1"/>
    <col min="14098" max="14098" width="12.5703125" style="374" bestFit="1" customWidth="1"/>
    <col min="14099" max="14099" width="14.85546875" style="374" customWidth="1"/>
    <col min="14100" max="14104" width="9.140625" style="374"/>
    <col min="14105" max="14105" width="9.5703125" style="374" bestFit="1" customWidth="1"/>
    <col min="14106" max="14111" width="9.140625" style="374"/>
    <col min="14112" max="14112" width="9.5703125" style="374" bestFit="1" customWidth="1"/>
    <col min="14113" max="14118" width="9.140625" style="374"/>
    <col min="14119" max="14119" width="9.5703125" style="374" bestFit="1" customWidth="1"/>
    <col min="14120" max="14340" width="9.140625" style="374"/>
    <col min="14341" max="14341" width="19.28515625" style="374" customWidth="1"/>
    <col min="14342" max="14342" width="12.42578125" style="374" customWidth="1"/>
    <col min="14343" max="14349" width="11.42578125" style="374" customWidth="1"/>
    <col min="14350" max="14350" width="22.85546875" style="374" customWidth="1"/>
    <col min="14351" max="14351" width="18.85546875" style="374" bestFit="1" customWidth="1"/>
    <col min="14352" max="14352" width="11.42578125" style="374" customWidth="1"/>
    <col min="14353" max="14353" width="11.5703125" style="374" bestFit="1" customWidth="1"/>
    <col min="14354" max="14354" width="12.5703125" style="374" bestFit="1" customWidth="1"/>
    <col min="14355" max="14355" width="14.85546875" style="374" customWidth="1"/>
    <col min="14356" max="14360" width="9.140625" style="374"/>
    <col min="14361" max="14361" width="9.5703125" style="374" bestFit="1" customWidth="1"/>
    <col min="14362" max="14367" width="9.140625" style="374"/>
    <col min="14368" max="14368" width="9.5703125" style="374" bestFit="1" customWidth="1"/>
    <col min="14369" max="14374" width="9.140625" style="374"/>
    <col min="14375" max="14375" width="9.5703125" style="374" bestFit="1" customWidth="1"/>
    <col min="14376" max="14596" width="9.140625" style="374"/>
    <col min="14597" max="14597" width="19.28515625" style="374" customWidth="1"/>
    <col min="14598" max="14598" width="12.42578125" style="374" customWidth="1"/>
    <col min="14599" max="14605" width="11.42578125" style="374" customWidth="1"/>
    <col min="14606" max="14606" width="22.85546875" style="374" customWidth="1"/>
    <col min="14607" max="14607" width="18.85546875" style="374" bestFit="1" customWidth="1"/>
    <col min="14608" max="14608" width="11.42578125" style="374" customWidth="1"/>
    <col min="14609" max="14609" width="11.5703125" style="374" bestFit="1" customWidth="1"/>
    <col min="14610" max="14610" width="12.5703125" style="374" bestFit="1" customWidth="1"/>
    <col min="14611" max="14611" width="14.85546875" style="374" customWidth="1"/>
    <col min="14612" max="14616" width="9.140625" style="374"/>
    <col min="14617" max="14617" width="9.5703125" style="374" bestFit="1" customWidth="1"/>
    <col min="14618" max="14623" width="9.140625" style="374"/>
    <col min="14624" max="14624" width="9.5703125" style="374" bestFit="1" customWidth="1"/>
    <col min="14625" max="14630" width="9.140625" style="374"/>
    <col min="14631" max="14631" width="9.5703125" style="374" bestFit="1" customWidth="1"/>
    <col min="14632" max="14852" width="9.140625" style="374"/>
    <col min="14853" max="14853" width="19.28515625" style="374" customWidth="1"/>
    <col min="14854" max="14854" width="12.42578125" style="374" customWidth="1"/>
    <col min="14855" max="14861" width="11.42578125" style="374" customWidth="1"/>
    <col min="14862" max="14862" width="22.85546875" style="374" customWidth="1"/>
    <col min="14863" max="14863" width="18.85546875" style="374" bestFit="1" customWidth="1"/>
    <col min="14864" max="14864" width="11.42578125" style="374" customWidth="1"/>
    <col min="14865" max="14865" width="11.5703125" style="374" bestFit="1" customWidth="1"/>
    <col min="14866" max="14866" width="12.5703125" style="374" bestFit="1" customWidth="1"/>
    <col min="14867" max="14867" width="14.85546875" style="374" customWidth="1"/>
    <col min="14868" max="14872" width="9.140625" style="374"/>
    <col min="14873" max="14873" width="9.5703125" style="374" bestFit="1" customWidth="1"/>
    <col min="14874" max="14879" width="9.140625" style="374"/>
    <col min="14880" max="14880" width="9.5703125" style="374" bestFit="1" customWidth="1"/>
    <col min="14881" max="14886" width="9.140625" style="374"/>
    <col min="14887" max="14887" width="9.5703125" style="374" bestFit="1" customWidth="1"/>
    <col min="14888" max="15108" width="9.140625" style="374"/>
    <col min="15109" max="15109" width="19.28515625" style="374" customWidth="1"/>
    <col min="15110" max="15110" width="12.42578125" style="374" customWidth="1"/>
    <col min="15111" max="15117" width="11.42578125" style="374" customWidth="1"/>
    <col min="15118" max="15118" width="22.85546875" style="374" customWidth="1"/>
    <col min="15119" max="15119" width="18.85546875" style="374" bestFit="1" customWidth="1"/>
    <col min="15120" max="15120" width="11.42578125" style="374" customWidth="1"/>
    <col min="15121" max="15121" width="11.5703125" style="374" bestFit="1" customWidth="1"/>
    <col min="15122" max="15122" width="12.5703125" style="374" bestFit="1" customWidth="1"/>
    <col min="15123" max="15123" width="14.85546875" style="374" customWidth="1"/>
    <col min="15124" max="15128" width="9.140625" style="374"/>
    <col min="15129" max="15129" width="9.5703125" style="374" bestFit="1" customWidth="1"/>
    <col min="15130" max="15135" width="9.140625" style="374"/>
    <col min="15136" max="15136" width="9.5703125" style="374" bestFit="1" customWidth="1"/>
    <col min="15137" max="15142" width="9.140625" style="374"/>
    <col min="15143" max="15143" width="9.5703125" style="374" bestFit="1" customWidth="1"/>
    <col min="15144" max="15364" width="9.140625" style="374"/>
    <col min="15365" max="15365" width="19.28515625" style="374" customWidth="1"/>
    <col min="15366" max="15366" width="12.42578125" style="374" customWidth="1"/>
    <col min="15367" max="15373" width="11.42578125" style="374" customWidth="1"/>
    <col min="15374" max="15374" width="22.85546875" style="374" customWidth="1"/>
    <col min="15375" max="15375" width="18.85546875" style="374" bestFit="1" customWidth="1"/>
    <col min="15376" max="15376" width="11.42578125" style="374" customWidth="1"/>
    <col min="15377" max="15377" width="11.5703125" style="374" bestFit="1" customWidth="1"/>
    <col min="15378" max="15378" width="12.5703125" style="374" bestFit="1" customWidth="1"/>
    <col min="15379" max="15379" width="14.85546875" style="374" customWidth="1"/>
    <col min="15380" max="15384" width="9.140625" style="374"/>
    <col min="15385" max="15385" width="9.5703125" style="374" bestFit="1" customWidth="1"/>
    <col min="15386" max="15391" width="9.140625" style="374"/>
    <col min="15392" max="15392" width="9.5703125" style="374" bestFit="1" customWidth="1"/>
    <col min="15393" max="15398" width="9.140625" style="374"/>
    <col min="15399" max="15399" width="9.5703125" style="374" bestFit="1" customWidth="1"/>
    <col min="15400" max="15620" width="9.140625" style="374"/>
    <col min="15621" max="15621" width="19.28515625" style="374" customWidth="1"/>
    <col min="15622" max="15622" width="12.42578125" style="374" customWidth="1"/>
    <col min="15623" max="15629" width="11.42578125" style="374" customWidth="1"/>
    <col min="15630" max="15630" width="22.85546875" style="374" customWidth="1"/>
    <col min="15631" max="15631" width="18.85546875" style="374" bestFit="1" customWidth="1"/>
    <col min="15632" max="15632" width="11.42578125" style="374" customWidth="1"/>
    <col min="15633" max="15633" width="11.5703125" style="374" bestFit="1" customWidth="1"/>
    <col min="15634" max="15634" width="12.5703125" style="374" bestFit="1" customWidth="1"/>
    <col min="15635" max="15635" width="14.85546875" style="374" customWidth="1"/>
    <col min="15636" max="15640" width="9.140625" style="374"/>
    <col min="15641" max="15641" width="9.5703125" style="374" bestFit="1" customWidth="1"/>
    <col min="15642" max="15647" width="9.140625" style="374"/>
    <col min="15648" max="15648" width="9.5703125" style="374" bestFit="1" customWidth="1"/>
    <col min="15649" max="15654" width="9.140625" style="374"/>
    <col min="15655" max="15655" width="9.5703125" style="374" bestFit="1" customWidth="1"/>
    <col min="15656" max="15876" width="9.140625" style="374"/>
    <col min="15877" max="15877" width="19.28515625" style="374" customWidth="1"/>
    <col min="15878" max="15878" width="12.42578125" style="374" customWidth="1"/>
    <col min="15879" max="15885" width="11.42578125" style="374" customWidth="1"/>
    <col min="15886" max="15886" width="22.85546875" style="374" customWidth="1"/>
    <col min="15887" max="15887" width="18.85546875" style="374" bestFit="1" customWidth="1"/>
    <col min="15888" max="15888" width="11.42578125" style="374" customWidth="1"/>
    <col min="15889" max="15889" width="11.5703125" style="374" bestFit="1" customWidth="1"/>
    <col min="15890" max="15890" width="12.5703125" style="374" bestFit="1" customWidth="1"/>
    <col min="15891" max="15891" width="14.85546875" style="374" customWidth="1"/>
    <col min="15892" max="15896" width="9.140625" style="374"/>
    <col min="15897" max="15897" width="9.5703125" style="374" bestFit="1" customWidth="1"/>
    <col min="15898" max="15903" width="9.140625" style="374"/>
    <col min="15904" max="15904" width="9.5703125" style="374" bestFit="1" customWidth="1"/>
    <col min="15905" max="15910" width="9.140625" style="374"/>
    <col min="15911" max="15911" width="9.5703125" style="374" bestFit="1" customWidth="1"/>
    <col min="15912" max="16132" width="9.140625" style="374"/>
    <col min="16133" max="16133" width="19.28515625" style="374" customWidth="1"/>
    <col min="16134" max="16134" width="12.42578125" style="374" customWidth="1"/>
    <col min="16135" max="16141" width="11.42578125" style="374" customWidth="1"/>
    <col min="16142" max="16142" width="22.85546875" style="374" customWidth="1"/>
    <col min="16143" max="16143" width="18.85546875" style="374" bestFit="1" customWidth="1"/>
    <col min="16144" max="16144" width="11.42578125" style="374" customWidth="1"/>
    <col min="16145" max="16145" width="11.5703125" style="374" bestFit="1" customWidth="1"/>
    <col min="16146" max="16146" width="12.5703125" style="374" bestFit="1" customWidth="1"/>
    <col min="16147" max="16147" width="14.85546875" style="374" customWidth="1"/>
    <col min="16148" max="16152" width="9.140625" style="374"/>
    <col min="16153" max="16153" width="9.5703125" style="374" bestFit="1" customWidth="1"/>
    <col min="16154" max="16159" width="9.140625" style="374"/>
    <col min="16160" max="16160" width="9.5703125" style="374" bestFit="1" customWidth="1"/>
    <col min="16161" max="16166" width="9.140625" style="374"/>
    <col min="16167" max="16167" width="9.5703125" style="374" bestFit="1" customWidth="1"/>
    <col min="16168" max="16384" width="9.140625" style="374"/>
  </cols>
  <sheetData>
    <row r="1" spans="1:15" ht="26.25" customHeight="1">
      <c r="A1" s="586" t="s">
        <v>1731</v>
      </c>
      <c r="B1" s="586" t="s">
        <v>1732</v>
      </c>
      <c r="C1" s="586" t="s">
        <v>1733</v>
      </c>
      <c r="D1" s="586" t="s">
        <v>1734</v>
      </c>
      <c r="F1" s="586" t="s">
        <v>117</v>
      </c>
      <c r="G1" s="586" t="s">
        <v>116</v>
      </c>
      <c r="J1" s="626"/>
      <c r="K1" s="627" t="s">
        <v>1735</v>
      </c>
      <c r="L1" s="628" t="s">
        <v>1736</v>
      </c>
      <c r="M1" s="628" t="s">
        <v>1737</v>
      </c>
      <c r="N1" s="628" t="s">
        <v>1738</v>
      </c>
      <c r="O1" s="629" t="s">
        <v>1739</v>
      </c>
    </row>
    <row r="2" spans="1:15">
      <c r="A2" s="586" t="str">
        <f ca="1">Data!C149</f>
        <v>AKM22E</v>
      </c>
      <c r="B2" s="586" t="s">
        <v>1740</v>
      </c>
      <c r="C2" s="630">
        <f ca="1">Data!L170</f>
        <v>320</v>
      </c>
      <c r="D2" s="586" t="b">
        <v>0</v>
      </c>
      <c r="E2" s="631">
        <v>2</v>
      </c>
      <c r="F2" s="631">
        <f>75/SQRT(2)</f>
        <v>53.033008588991059</v>
      </c>
      <c r="G2" s="632">
        <f>IF($C$13&gt;F2,75,"")</f>
        <v>75</v>
      </c>
      <c r="H2" s="633"/>
      <c r="I2" s="633"/>
      <c r="J2" s="634"/>
      <c r="K2" s="635" t="s">
        <v>1741</v>
      </c>
      <c r="L2" s="636">
        <v>230</v>
      </c>
      <c r="M2" s="637">
        <v>3</v>
      </c>
      <c r="N2" s="637">
        <v>9</v>
      </c>
      <c r="O2" s="638" t="s">
        <v>511</v>
      </c>
    </row>
    <row r="3" spans="1:15">
      <c r="E3" s="631"/>
      <c r="F3" s="631">
        <f>160/SQRT(2)</f>
        <v>113.13708498984759</v>
      </c>
      <c r="G3" s="632">
        <f>IF($C$13&gt;F3,160,"")</f>
        <v>160</v>
      </c>
      <c r="H3" s="633"/>
      <c r="I3" s="633"/>
      <c r="J3" s="634"/>
      <c r="K3" s="627" t="s">
        <v>1742</v>
      </c>
      <c r="L3" s="639">
        <v>230</v>
      </c>
      <c r="M3" s="640">
        <v>6</v>
      </c>
      <c r="N3" s="640">
        <v>15</v>
      </c>
      <c r="O3" s="638" t="s">
        <v>511</v>
      </c>
    </row>
    <row r="4" spans="1:15">
      <c r="E4" s="631"/>
      <c r="F4" s="631">
        <f>320/SQRT(2)</f>
        <v>226.27416997969519</v>
      </c>
      <c r="G4" s="632">
        <f>IF($C$13&gt;F4,320,"")</f>
        <v>320</v>
      </c>
      <c r="H4" s="633"/>
      <c r="I4" s="633"/>
      <c r="J4" s="634"/>
      <c r="K4" s="627" t="s">
        <v>1743</v>
      </c>
      <c r="L4" s="639">
        <v>230</v>
      </c>
      <c r="M4" s="640">
        <v>10</v>
      </c>
      <c r="N4" s="640">
        <v>20</v>
      </c>
      <c r="O4" s="638" t="s">
        <v>511</v>
      </c>
    </row>
    <row r="5" spans="1:15">
      <c r="E5" s="631"/>
      <c r="F5" s="631">
        <f>560/SQRT(2)</f>
        <v>395.97979746446657</v>
      </c>
      <c r="G5" s="632">
        <f>IF($C$13&gt;F5,560,"")</f>
        <v>560</v>
      </c>
      <c r="H5" s="633"/>
      <c r="I5" s="633"/>
      <c r="J5" s="634"/>
      <c r="K5" s="627" t="s">
        <v>1744</v>
      </c>
      <c r="L5" s="639">
        <v>480</v>
      </c>
      <c r="M5" s="640">
        <v>1.5</v>
      </c>
      <c r="N5" s="640">
        <v>4.5</v>
      </c>
      <c r="O5" s="638" t="s">
        <v>511</v>
      </c>
    </row>
    <row r="6" spans="1:15">
      <c r="E6" s="631"/>
      <c r="F6" s="631">
        <f>640/SQRT(2)</f>
        <v>452.54833995939038</v>
      </c>
      <c r="G6" s="632">
        <f>IF($C$13&gt;F6,640,"")</f>
        <v>640</v>
      </c>
      <c r="H6" s="633"/>
      <c r="I6" s="633"/>
      <c r="J6" s="634"/>
      <c r="K6" s="627" t="s">
        <v>1745</v>
      </c>
      <c r="L6" s="639">
        <v>480</v>
      </c>
      <c r="M6" s="640">
        <v>3</v>
      </c>
      <c r="N6" s="640">
        <v>7.5</v>
      </c>
      <c r="O6" s="638" t="s">
        <v>511</v>
      </c>
    </row>
    <row r="7" spans="1:15">
      <c r="J7" s="626"/>
      <c r="K7" s="627" t="s">
        <v>1746</v>
      </c>
      <c r="L7" s="639">
        <v>480</v>
      </c>
      <c r="M7" s="640">
        <v>6</v>
      </c>
      <c r="N7" s="640">
        <v>12</v>
      </c>
      <c r="O7" s="638" t="s">
        <v>511</v>
      </c>
    </row>
    <row r="8" spans="1:15">
      <c r="A8" s="641" t="s">
        <v>111</v>
      </c>
      <c r="B8" s="641"/>
      <c r="C8" s="641"/>
      <c r="D8" s="641"/>
      <c r="E8" s="641"/>
      <c r="F8" s="641"/>
      <c r="G8" s="641"/>
      <c r="H8" s="641"/>
      <c r="I8" s="641"/>
      <c r="J8" s="626"/>
      <c r="K8" s="627" t="s">
        <v>1747</v>
      </c>
      <c r="L8" s="639">
        <v>230</v>
      </c>
      <c r="M8" s="640">
        <v>3</v>
      </c>
      <c r="N8" s="640">
        <v>9</v>
      </c>
      <c r="O8" s="638" t="s">
        <v>511</v>
      </c>
    </row>
    <row r="9" spans="1:15">
      <c r="A9" s="587" t="s">
        <v>1748</v>
      </c>
      <c r="B9" s="587" t="s">
        <v>1749</v>
      </c>
      <c r="C9" s="587" t="s">
        <v>1750</v>
      </c>
      <c r="D9" s="587" t="s">
        <v>1751</v>
      </c>
      <c r="E9" s="587" t="s">
        <v>1752</v>
      </c>
      <c r="F9" s="642" t="s">
        <v>1753</v>
      </c>
      <c r="G9" s="642" t="s">
        <v>1754</v>
      </c>
      <c r="H9" s="642" t="s">
        <v>1755</v>
      </c>
      <c r="I9" s="642" t="s">
        <v>1756</v>
      </c>
      <c r="J9" s="626"/>
      <c r="K9" s="627" t="s">
        <v>1757</v>
      </c>
      <c r="L9" s="639">
        <v>230</v>
      </c>
      <c r="M9" s="640">
        <v>6</v>
      </c>
      <c r="N9" s="640">
        <v>12</v>
      </c>
      <c r="O9" s="638" t="s">
        <v>511</v>
      </c>
    </row>
    <row r="10" spans="1:15">
      <c r="A10" s="587">
        <f ca="1">VLOOKUP($A$2,Motor!$A$9:$U$1280,18,FALSE)</f>
        <v>5.09</v>
      </c>
      <c r="B10" s="587">
        <f ca="1">VLOOKUP($A$2,Motor!$A$9:$U$1280,19,FALSE)</f>
        <v>9.6999999999999993</v>
      </c>
      <c r="C10" s="587">
        <f ca="1">VLOOKUP($A$2,Motor!$A$9:$U$1280,20,FALSE)</f>
        <v>22.4</v>
      </c>
      <c r="D10" s="587">
        <f ca="1">VLOOKUP($A$2,Motor!$A$9:$U$1280,3,FALSE)</f>
        <v>11</v>
      </c>
      <c r="E10" s="587">
        <f ca="1">VLOOKUP($A$2,Motor!$A$9:$U$1280,21,FALSE)</f>
        <v>6</v>
      </c>
      <c r="F10" s="587">
        <f ca="1">VLOOKUP($A$2,Motor!$A$9:$U$1280,16,FALSE)</f>
        <v>8000</v>
      </c>
      <c r="G10" s="587">
        <f ca="1">VLOOKUP($A$2,Motor!$A$9:$U$1280,4,FALSE)</f>
        <v>0.87</v>
      </c>
      <c r="H10" s="587">
        <f ca="1">VLOOKUP($A$2,Motor!$A$9:$U$1280,5,FALSE)</f>
        <v>2.73</v>
      </c>
      <c r="I10" s="587">
        <f ca="1">VLOOKUP($A$2,Motor!$A$9:$U$1280,2,FALSE)</f>
        <v>2.76</v>
      </c>
      <c r="J10" s="626"/>
      <c r="K10" s="627" t="s">
        <v>1758</v>
      </c>
      <c r="L10" s="639">
        <v>400</v>
      </c>
      <c r="M10" s="640">
        <v>3</v>
      </c>
      <c r="N10" s="640">
        <v>9</v>
      </c>
      <c r="O10" s="638" t="s">
        <v>511</v>
      </c>
    </row>
    <row r="11" spans="1:15">
      <c r="A11" s="641" t="s">
        <v>1759</v>
      </c>
      <c r="B11" s="641"/>
      <c r="C11" s="641"/>
      <c r="D11" s="641"/>
      <c r="E11" s="641"/>
      <c r="F11" s="641"/>
      <c r="G11" s="641">
        <f ca="1">G10/H10</f>
        <v>0.31868131868131866</v>
      </c>
      <c r="H11" s="641"/>
      <c r="I11" s="641">
        <f ca="1">I10/D10</f>
        <v>0.25090909090909091</v>
      </c>
      <c r="J11" s="626"/>
      <c r="K11" s="627" t="s">
        <v>1760</v>
      </c>
      <c r="L11" s="639">
        <v>400</v>
      </c>
      <c r="M11" s="640">
        <v>6</v>
      </c>
      <c r="N11" s="640">
        <v>12</v>
      </c>
      <c r="O11" s="638" t="s">
        <v>511</v>
      </c>
    </row>
    <row r="12" spans="1:15">
      <c r="A12" s="587" t="s">
        <v>1761</v>
      </c>
      <c r="B12" s="587" t="s">
        <v>1762</v>
      </c>
      <c r="C12" s="587" t="s">
        <v>1736</v>
      </c>
      <c r="D12" s="641"/>
      <c r="E12" s="641"/>
      <c r="F12" s="641"/>
      <c r="G12" s="641"/>
      <c r="H12" s="641"/>
      <c r="I12" s="641"/>
      <c r="J12" s="626"/>
      <c r="K12" s="627" t="s">
        <v>1763</v>
      </c>
      <c r="L12" s="639">
        <v>480</v>
      </c>
      <c r="M12" s="640">
        <v>1.5</v>
      </c>
      <c r="N12" s="640">
        <v>3</v>
      </c>
      <c r="O12" s="638" t="s">
        <v>511</v>
      </c>
    </row>
    <row r="13" spans="1:15">
      <c r="A13" s="587">
        <f>VALUE(VLOOKUP($B$2,$K$2:$N$43,4,FALSE))</f>
        <v>1000</v>
      </c>
      <c r="B13" s="587">
        <f>VALUE(VLOOKUP($B$2,$K$2:$N$43,3,FALSE))</f>
        <v>1000</v>
      </c>
      <c r="C13" s="587">
        <f>VALUE(VLOOKUP($B$2,$K$2:$N$45,2,FALSE))</f>
        <v>480</v>
      </c>
      <c r="D13" s="641"/>
      <c r="E13" s="641"/>
      <c r="F13" s="641"/>
      <c r="G13" s="641"/>
      <c r="H13" s="641"/>
      <c r="I13" s="641"/>
      <c r="J13" s="626"/>
      <c r="K13" s="627" t="s">
        <v>1764</v>
      </c>
      <c r="L13" s="639">
        <v>480</v>
      </c>
      <c r="M13" s="640">
        <v>3</v>
      </c>
      <c r="N13" s="640">
        <v>6</v>
      </c>
      <c r="O13" s="638" t="s">
        <v>511</v>
      </c>
    </row>
    <row r="14" spans="1:15">
      <c r="A14" s="587">
        <f>VALUE(VLOOKUP($B$2,$K$2:$N$43,4,FALSE))</f>
        <v>1000</v>
      </c>
      <c r="B14" s="641"/>
      <c r="C14" s="641"/>
      <c r="D14" s="641"/>
      <c r="E14" s="641"/>
      <c r="F14" s="641"/>
      <c r="G14" s="641"/>
      <c r="H14" s="641"/>
      <c r="I14" s="641"/>
      <c r="J14" s="626"/>
      <c r="K14" s="627" t="s">
        <v>1765</v>
      </c>
      <c r="L14" s="639">
        <v>480</v>
      </c>
      <c r="M14" s="640">
        <v>6</v>
      </c>
      <c r="N14" s="640">
        <v>12</v>
      </c>
      <c r="O14" s="638" t="s">
        <v>511</v>
      </c>
    </row>
    <row r="15" spans="1:15">
      <c r="J15" s="626"/>
      <c r="K15" s="627" t="s">
        <v>1766</v>
      </c>
      <c r="L15" s="639">
        <v>480</v>
      </c>
      <c r="M15" s="640">
        <v>10</v>
      </c>
      <c r="N15" s="640">
        <v>20</v>
      </c>
      <c r="O15" s="638" t="s">
        <v>511</v>
      </c>
    </row>
    <row r="16" spans="1:15">
      <c r="J16" s="626"/>
      <c r="K16" s="627" t="s">
        <v>1767</v>
      </c>
      <c r="L16" s="639">
        <v>480</v>
      </c>
      <c r="M16" s="640">
        <v>10</v>
      </c>
      <c r="N16" s="640">
        <v>30</v>
      </c>
      <c r="O16" s="638" t="s">
        <v>511</v>
      </c>
    </row>
    <row r="17" spans="1:15">
      <c r="J17" s="626"/>
      <c r="K17" s="627" t="s">
        <v>1768</v>
      </c>
      <c r="L17" s="639">
        <v>480</v>
      </c>
      <c r="M17" s="640">
        <v>14</v>
      </c>
      <c r="N17" s="640">
        <v>28</v>
      </c>
      <c r="O17" s="638" t="s">
        <v>511</v>
      </c>
    </row>
    <row r="18" spans="1:15">
      <c r="A18" s="586" t="s">
        <v>1769</v>
      </c>
      <c r="J18" s="626"/>
      <c r="K18" s="627" t="s">
        <v>1770</v>
      </c>
      <c r="L18" s="639">
        <v>480</v>
      </c>
      <c r="M18" s="640">
        <v>20</v>
      </c>
      <c r="N18" s="640">
        <v>40</v>
      </c>
      <c r="O18" s="638" t="s">
        <v>511</v>
      </c>
    </row>
    <row r="19" spans="1:15">
      <c r="A19" s="586" t="s">
        <v>1771</v>
      </c>
      <c r="B19" s="586" t="s">
        <v>1772</v>
      </c>
      <c r="C19" s="586" t="s">
        <v>1773</v>
      </c>
      <c r="D19" s="586" t="s">
        <v>1774</v>
      </c>
      <c r="E19" s="586" t="s">
        <v>1775</v>
      </c>
      <c r="F19" s="586" t="s">
        <v>51</v>
      </c>
      <c r="G19" s="586" t="s">
        <v>1738</v>
      </c>
      <c r="H19" s="586" t="s">
        <v>1776</v>
      </c>
      <c r="J19" s="626"/>
      <c r="K19" s="627" t="s">
        <v>1777</v>
      </c>
      <c r="L19" s="639">
        <v>480</v>
      </c>
      <c r="M19" s="640">
        <v>40</v>
      </c>
      <c r="N19" s="640">
        <v>80</v>
      </c>
      <c r="O19" s="638" t="s">
        <v>511</v>
      </c>
    </row>
    <row r="20" spans="1:15">
      <c r="A20" s="631">
        <f ca="1">A21</f>
        <v>2.7600000000000002</v>
      </c>
      <c r="B20" s="631">
        <v>0</v>
      </c>
      <c r="J20" s="626"/>
      <c r="K20" s="627" t="s">
        <v>1778</v>
      </c>
      <c r="L20" s="639">
        <v>480</v>
      </c>
      <c r="M20" s="640">
        <v>70</v>
      </c>
      <c r="N20" s="640">
        <v>140</v>
      </c>
      <c r="O20" s="638" t="s">
        <v>511</v>
      </c>
    </row>
    <row r="21" spans="1:15">
      <c r="A21" s="631">
        <f t="shared" ref="A21:A52" ca="1" si="0">G21*($G$10/$H$10-($G$10/$H$10-$I$10/$D$10)/$D$10*G21)</f>
        <v>2.7600000000000002</v>
      </c>
      <c r="B21" s="631">
        <f t="shared" ref="B21:B52" ca="1" si="1">MAX(MIN(F21,$F$10),0)</f>
        <v>5148.3999999999996</v>
      </c>
      <c r="C21" s="641">
        <f t="shared" ref="C21:C52" ca="1" si="2">($C$10^2)/1000000+(($B$10/1000)^2*G21^2*PI()*PI()*($E$10/2)^2)/1200</f>
        <v>1.3444927033743864E-3</v>
      </c>
      <c r="D21" s="641">
        <f t="shared" ref="D21:D52" ca="1" si="3">SQRT(3)*$C$10*$A$10*G21/1000</f>
        <v>2.1722965536335042</v>
      </c>
      <c r="E21" s="641">
        <f t="shared" ref="E21:E52" ca="1" si="4">0.75*$A$10^2*G21^2-($C$2/SQRT(2)*0.98)^2</f>
        <v>-46821.319924999996</v>
      </c>
      <c r="F21" s="641">
        <f t="shared" ref="F21:F52" ca="1" si="5">ROUND((-D21/2/C21+SQRT((D21/2/C21)^2-E21/C21)),1)</f>
        <v>5148.3999999999996</v>
      </c>
      <c r="G21" s="641">
        <f ca="1">MIN($D$10,$A$13)*1</f>
        <v>11</v>
      </c>
      <c r="H21" s="641">
        <f t="shared" ref="H21:H52" ca="1" si="6">A21/G21</f>
        <v>0.25090909090909091</v>
      </c>
      <c r="I21" s="641"/>
      <c r="J21" s="626"/>
      <c r="K21" s="627" t="s">
        <v>1779</v>
      </c>
      <c r="L21" s="639">
        <v>230</v>
      </c>
      <c r="M21" s="640">
        <v>1.5</v>
      </c>
      <c r="N21" s="640">
        <v>4.5</v>
      </c>
      <c r="O21" s="638" t="s">
        <v>537</v>
      </c>
    </row>
    <row r="22" spans="1:15">
      <c r="A22" s="631">
        <f t="shared" ca="1" si="0"/>
        <v>2.7194116923076921</v>
      </c>
      <c r="B22" s="631">
        <f t="shared" ca="1" si="1"/>
        <v>5224.8</v>
      </c>
      <c r="C22" s="641">
        <f t="shared" ca="1" si="2"/>
        <v>1.3111204883207606E-3</v>
      </c>
      <c r="D22" s="641">
        <f t="shared" ca="1" si="3"/>
        <v>2.1288506225608339</v>
      </c>
      <c r="E22" s="641">
        <f t="shared" ca="1" si="4"/>
        <v>-46914.425863969998</v>
      </c>
      <c r="F22" s="641">
        <f t="shared" ca="1" si="5"/>
        <v>5224.8</v>
      </c>
      <c r="G22" s="641">
        <f ca="1">MIN($D$10,$A$13)*0.98</f>
        <v>10.78</v>
      </c>
      <c r="H22" s="641">
        <f t="shared" ca="1" si="6"/>
        <v>0.25226453546453548</v>
      </c>
      <c r="J22" s="626"/>
      <c r="K22" s="627" t="s">
        <v>1780</v>
      </c>
      <c r="L22" s="639">
        <v>230</v>
      </c>
      <c r="M22" s="640">
        <v>3</v>
      </c>
      <c r="N22" s="640">
        <v>9</v>
      </c>
      <c r="O22" s="638" t="s">
        <v>537</v>
      </c>
    </row>
    <row r="23" spans="1:15">
      <c r="A23" s="631">
        <f t="shared" ca="1" si="0"/>
        <v>2.6782269890109891</v>
      </c>
      <c r="B23" s="631">
        <f t="shared" ca="1" si="1"/>
        <v>5302.7</v>
      </c>
      <c r="C23" s="641">
        <f t="shared" ca="1" si="2"/>
        <v>1.2784224594298342E-3</v>
      </c>
      <c r="D23" s="641">
        <f t="shared" ca="1" si="3"/>
        <v>2.0854046914881637</v>
      </c>
      <c r="E23" s="641">
        <f t="shared" ca="1" si="4"/>
        <v>-47005.650874879997</v>
      </c>
      <c r="F23" s="641">
        <f t="shared" ca="1" si="5"/>
        <v>5302.7</v>
      </c>
      <c r="G23" s="641">
        <f ca="1">MIN($D$10,$A$13)*0.96</f>
        <v>10.559999999999999</v>
      </c>
      <c r="H23" s="641">
        <f t="shared" ca="1" si="6"/>
        <v>0.25361998001998004</v>
      </c>
      <c r="J23" s="626"/>
      <c r="K23" s="627" t="s">
        <v>1781</v>
      </c>
      <c r="L23" s="639">
        <v>50</v>
      </c>
      <c r="M23" s="640">
        <v>3</v>
      </c>
      <c r="N23" s="640">
        <v>9</v>
      </c>
      <c r="O23" s="638" t="s">
        <v>537</v>
      </c>
    </row>
    <row r="24" spans="1:15">
      <c r="A24" s="631">
        <f t="shared" ca="1" si="0"/>
        <v>2.6364458901098904</v>
      </c>
      <c r="B24" s="631">
        <f t="shared" ca="1" si="1"/>
        <v>5382.1</v>
      </c>
      <c r="C24" s="641">
        <f t="shared" ca="1" si="2"/>
        <v>1.2463986167016079E-3</v>
      </c>
      <c r="D24" s="641">
        <f t="shared" ca="1" si="3"/>
        <v>2.0419587604154934</v>
      </c>
      <c r="E24" s="641">
        <f t="shared" ca="1" si="4"/>
        <v>-47094.994957729999</v>
      </c>
      <c r="F24" s="641">
        <f t="shared" ca="1" si="5"/>
        <v>5382.1</v>
      </c>
      <c r="G24" s="641">
        <f ca="1">MIN($D$10,$A$13)*0.94</f>
        <v>10.34</v>
      </c>
      <c r="H24" s="641">
        <f t="shared" ca="1" si="6"/>
        <v>0.2549754245754246</v>
      </c>
      <c r="J24" s="626"/>
      <c r="K24" s="627" t="s">
        <v>1782</v>
      </c>
      <c r="L24" s="639">
        <v>50</v>
      </c>
      <c r="M24" s="640">
        <v>6</v>
      </c>
      <c r="N24" s="640">
        <v>18</v>
      </c>
      <c r="O24" s="638" t="s">
        <v>537</v>
      </c>
    </row>
    <row r="25" spans="1:15">
      <c r="A25" s="631">
        <f t="shared" ca="1" si="0"/>
        <v>2.5940683956043955</v>
      </c>
      <c r="B25" s="631">
        <f t="shared" ca="1" si="1"/>
        <v>5463.1</v>
      </c>
      <c r="C25" s="641">
        <f t="shared" ca="1" si="2"/>
        <v>1.2150489601360807E-3</v>
      </c>
      <c r="D25" s="641">
        <f t="shared" ca="1" si="3"/>
        <v>1.9985128293428238</v>
      </c>
      <c r="E25" s="641">
        <f t="shared" ca="1" si="4"/>
        <v>-47182.458112519998</v>
      </c>
      <c r="F25" s="641">
        <f t="shared" ca="1" si="5"/>
        <v>5463.1</v>
      </c>
      <c r="G25" s="641">
        <f ca="1">MIN($D$10,$A$13)*0.92</f>
        <v>10.120000000000001</v>
      </c>
      <c r="H25" s="641">
        <f t="shared" ca="1" si="6"/>
        <v>0.25633086913086911</v>
      </c>
      <c r="J25" s="626"/>
      <c r="K25" s="643" t="s">
        <v>1783</v>
      </c>
      <c r="L25" s="639">
        <v>480</v>
      </c>
      <c r="M25" s="640">
        <v>1.5</v>
      </c>
      <c r="N25" s="644">
        <v>4.5</v>
      </c>
      <c r="O25" s="638" t="s">
        <v>511</v>
      </c>
    </row>
    <row r="26" spans="1:15">
      <c r="A26" s="631">
        <f t="shared" ca="1" si="0"/>
        <v>2.5510945054945053</v>
      </c>
      <c r="B26" s="631">
        <f t="shared" ca="1" si="1"/>
        <v>5545.7</v>
      </c>
      <c r="C26" s="641">
        <f t="shared" ca="1" si="2"/>
        <v>1.1843734897332531E-3</v>
      </c>
      <c r="D26" s="641">
        <f t="shared" ca="1" si="3"/>
        <v>1.9550668982701536</v>
      </c>
      <c r="E26" s="641">
        <f t="shared" ca="1" si="4"/>
        <v>-47268.040339249994</v>
      </c>
      <c r="F26" s="641">
        <f t="shared" ca="1" si="5"/>
        <v>5545.7</v>
      </c>
      <c r="G26" s="641">
        <f ca="1">MIN($D$10,$A$13)*0.9</f>
        <v>9.9</v>
      </c>
      <c r="H26" s="641">
        <f t="shared" ca="1" si="6"/>
        <v>0.25768631368631367</v>
      </c>
      <c r="J26" s="626"/>
      <c r="K26" s="643" t="s">
        <v>1784</v>
      </c>
      <c r="L26" s="639">
        <v>480</v>
      </c>
      <c r="M26" s="640">
        <v>3</v>
      </c>
      <c r="N26" s="644">
        <v>9</v>
      </c>
      <c r="O26" s="638" t="s">
        <v>511</v>
      </c>
    </row>
    <row r="27" spans="1:15">
      <c r="A27" s="631">
        <f t="shared" ca="1" si="0"/>
        <v>2.5075242197802194</v>
      </c>
      <c r="B27" s="631">
        <f t="shared" ca="1" si="1"/>
        <v>5630</v>
      </c>
      <c r="C27" s="641">
        <f t="shared" ca="1" si="2"/>
        <v>1.154372205493125E-3</v>
      </c>
      <c r="D27" s="641">
        <f t="shared" ca="1" si="3"/>
        <v>1.9116209671974835</v>
      </c>
      <c r="E27" s="641">
        <f t="shared" ca="1" si="4"/>
        <v>-47351.741637919993</v>
      </c>
      <c r="F27" s="641">
        <f t="shared" ca="1" si="5"/>
        <v>5630</v>
      </c>
      <c r="G27" s="641">
        <f ca="1">MIN($D$10,$A$13)*0.88</f>
        <v>9.68</v>
      </c>
      <c r="H27" s="641">
        <f t="shared" ca="1" si="6"/>
        <v>0.25904175824175824</v>
      </c>
      <c r="J27" s="626"/>
      <c r="K27" s="643" t="s">
        <v>1785</v>
      </c>
      <c r="L27" s="639">
        <v>480</v>
      </c>
      <c r="M27" s="640">
        <v>6</v>
      </c>
      <c r="N27" s="644">
        <v>18</v>
      </c>
      <c r="O27" s="638" t="s">
        <v>511</v>
      </c>
    </row>
    <row r="28" spans="1:15">
      <c r="A28" s="631">
        <f t="shared" ca="1" si="0"/>
        <v>2.4633575384615383</v>
      </c>
      <c r="B28" s="631">
        <f t="shared" ca="1" si="1"/>
        <v>5715.8</v>
      </c>
      <c r="C28" s="641">
        <f t="shared" ca="1" si="2"/>
        <v>1.125045107415696E-3</v>
      </c>
      <c r="D28" s="641">
        <f t="shared" ca="1" si="3"/>
        <v>1.8681750361248133</v>
      </c>
      <c r="E28" s="641">
        <f t="shared" ca="1" si="4"/>
        <v>-47433.562008529996</v>
      </c>
      <c r="F28" s="641">
        <f t="shared" ca="1" si="5"/>
        <v>5715.8</v>
      </c>
      <c r="G28" s="641">
        <f ca="1">MIN($D$10,$A$13)*0.86</f>
        <v>9.4599999999999991</v>
      </c>
      <c r="H28" s="641">
        <f t="shared" ca="1" si="6"/>
        <v>0.2603972027972028</v>
      </c>
      <c r="J28" s="626"/>
      <c r="K28" s="643" t="s">
        <v>1786</v>
      </c>
      <c r="L28" s="639">
        <v>480</v>
      </c>
      <c r="M28" s="640">
        <v>12</v>
      </c>
      <c r="N28" s="644">
        <v>24</v>
      </c>
      <c r="O28" s="638" t="s">
        <v>511</v>
      </c>
    </row>
    <row r="29" spans="1:15">
      <c r="A29" s="631">
        <f t="shared" ca="1" si="0"/>
        <v>2.4185944615384618</v>
      </c>
      <c r="B29" s="631">
        <f t="shared" ca="1" si="1"/>
        <v>5803.3</v>
      </c>
      <c r="C29" s="641">
        <f t="shared" ca="1" si="2"/>
        <v>1.096392195500967E-3</v>
      </c>
      <c r="D29" s="641">
        <f t="shared" ca="1" si="3"/>
        <v>1.8247291050521433</v>
      </c>
      <c r="E29" s="641">
        <f t="shared" ca="1" si="4"/>
        <v>-47513.501451079996</v>
      </c>
      <c r="F29" s="641">
        <f t="shared" ca="1" si="5"/>
        <v>5803.3</v>
      </c>
      <c r="G29" s="641">
        <f ca="1">MIN($D$10,$A$13)*0.84</f>
        <v>9.24</v>
      </c>
      <c r="H29" s="641">
        <f t="shared" ca="1" si="6"/>
        <v>0.26175264735264736</v>
      </c>
      <c r="J29" s="626"/>
      <c r="K29" s="643" t="s">
        <v>1787</v>
      </c>
      <c r="L29" s="639">
        <v>480</v>
      </c>
      <c r="M29" s="640">
        <v>12</v>
      </c>
      <c r="N29" s="644">
        <v>30</v>
      </c>
      <c r="O29" s="638" t="s">
        <v>511</v>
      </c>
    </row>
    <row r="30" spans="1:15">
      <c r="A30" s="631">
        <f t="shared" ca="1" si="0"/>
        <v>2.3732349890109892</v>
      </c>
      <c r="B30" s="631">
        <f t="shared" ca="1" si="1"/>
        <v>5892.4</v>
      </c>
      <c r="C30" s="641">
        <f t="shared" ca="1" si="2"/>
        <v>1.0684134697489375E-3</v>
      </c>
      <c r="D30" s="641">
        <f t="shared" ca="1" si="3"/>
        <v>1.781283173979473</v>
      </c>
      <c r="E30" s="641">
        <f t="shared" ca="1" si="4"/>
        <v>-47591.559965569999</v>
      </c>
      <c r="F30" s="641">
        <f t="shared" ca="1" si="5"/>
        <v>5892.4</v>
      </c>
      <c r="G30" s="641">
        <f ca="1">MIN($D$10,$A$13)*0.82</f>
        <v>9.02</v>
      </c>
      <c r="H30" s="641">
        <f t="shared" ca="1" si="6"/>
        <v>0.26310809190809192</v>
      </c>
      <c r="J30" s="626"/>
      <c r="K30" s="643" t="s">
        <v>1788</v>
      </c>
      <c r="L30" s="639">
        <v>480</v>
      </c>
      <c r="M30" s="640">
        <v>24</v>
      </c>
      <c r="N30" s="644">
        <v>48</v>
      </c>
      <c r="O30" s="638" t="s">
        <v>511</v>
      </c>
    </row>
    <row r="31" spans="1:15">
      <c r="A31" s="631">
        <f t="shared" ca="1" si="0"/>
        <v>2.3272791208791213</v>
      </c>
      <c r="B31" s="631">
        <f t="shared" ca="1" si="1"/>
        <v>5983.2</v>
      </c>
      <c r="C31" s="641">
        <f t="shared" ca="1" si="2"/>
        <v>1.0411089301596075E-3</v>
      </c>
      <c r="D31" s="641">
        <f t="shared" ca="1" si="3"/>
        <v>1.7378372429068034</v>
      </c>
      <c r="E31" s="641">
        <f t="shared" ca="1" si="4"/>
        <v>-47667.737551999999</v>
      </c>
      <c r="F31" s="641">
        <f t="shared" ca="1" si="5"/>
        <v>5983.2</v>
      </c>
      <c r="G31" s="641">
        <f ca="1">MIN($D$10,$A$13)*0.8</f>
        <v>8.8000000000000007</v>
      </c>
      <c r="H31" s="641">
        <f t="shared" ca="1" si="6"/>
        <v>0.26446353646353649</v>
      </c>
      <c r="J31" s="626"/>
      <c r="K31" s="643" t="s">
        <v>1789</v>
      </c>
      <c r="L31" s="639">
        <v>480</v>
      </c>
      <c r="M31" s="640">
        <v>24</v>
      </c>
      <c r="N31" s="644">
        <v>72</v>
      </c>
      <c r="O31" s="638" t="s">
        <v>511</v>
      </c>
    </row>
    <row r="32" spans="1:15">
      <c r="A32" s="631">
        <f t="shared" ca="1" si="0"/>
        <v>2.2807268571428576</v>
      </c>
      <c r="B32" s="631">
        <f t="shared" ca="1" si="1"/>
        <v>6075.6</v>
      </c>
      <c r="C32" s="641">
        <f t="shared" ca="1" si="2"/>
        <v>1.0144785767329766E-3</v>
      </c>
      <c r="D32" s="641">
        <f t="shared" ca="1" si="3"/>
        <v>1.6943913118341332</v>
      </c>
      <c r="E32" s="641">
        <f t="shared" ca="1" si="4"/>
        <v>-47742.034210369995</v>
      </c>
      <c r="F32" s="641">
        <f t="shared" ca="1" si="5"/>
        <v>6075.6</v>
      </c>
      <c r="G32" s="641">
        <f ca="1">MIN($D$10,$A$13)*0.78</f>
        <v>8.58</v>
      </c>
      <c r="H32" s="641">
        <f t="shared" ca="1" si="6"/>
        <v>0.26581898101898105</v>
      </c>
      <c r="J32" s="626"/>
      <c r="K32" s="643" t="s">
        <v>1790</v>
      </c>
      <c r="L32" s="639">
        <v>480</v>
      </c>
      <c r="M32" s="640">
        <v>48</v>
      </c>
      <c r="N32" s="644">
        <v>96</v>
      </c>
      <c r="O32" s="638" t="s">
        <v>511</v>
      </c>
    </row>
    <row r="33" spans="1:15">
      <c r="A33" s="631">
        <f t="shared" ca="1" si="0"/>
        <v>2.2335781978021974</v>
      </c>
      <c r="B33" s="631">
        <f t="shared" ca="1" si="1"/>
        <v>6169.7</v>
      </c>
      <c r="C33" s="641">
        <f t="shared" ca="1" si="2"/>
        <v>9.885224094690454E-4</v>
      </c>
      <c r="D33" s="641">
        <f t="shared" ca="1" si="3"/>
        <v>1.6509453807614629</v>
      </c>
      <c r="E33" s="641">
        <f t="shared" ca="1" si="4"/>
        <v>-47814.449940679995</v>
      </c>
      <c r="F33" s="641">
        <f t="shared" ca="1" si="5"/>
        <v>6169.7</v>
      </c>
      <c r="G33" s="641">
        <f ca="1">MIN($D$10,$A$13)*0.76</f>
        <v>8.36</v>
      </c>
      <c r="H33" s="641">
        <f t="shared" ca="1" si="6"/>
        <v>0.26717442557442556</v>
      </c>
      <c r="J33" s="626"/>
      <c r="K33" s="643" t="s">
        <v>1791</v>
      </c>
      <c r="L33" s="639">
        <v>480</v>
      </c>
      <c r="M33" s="640">
        <v>72</v>
      </c>
      <c r="N33" s="644">
        <v>140</v>
      </c>
      <c r="O33" s="638" t="s">
        <v>511</v>
      </c>
    </row>
    <row r="34" spans="1:15">
      <c r="A34" s="631">
        <f t="shared" ca="1" si="0"/>
        <v>2.1858331428571427</v>
      </c>
      <c r="B34" s="631">
        <f t="shared" ca="1" si="1"/>
        <v>6265.5</v>
      </c>
      <c r="C34" s="641">
        <f t="shared" ca="1" si="2"/>
        <v>9.6324042836781407E-4</v>
      </c>
      <c r="D34" s="641">
        <f t="shared" ca="1" si="3"/>
        <v>1.6074994496887931</v>
      </c>
      <c r="E34" s="641">
        <f t="shared" ca="1" si="4"/>
        <v>-47884.984742929999</v>
      </c>
      <c r="F34" s="641">
        <f t="shared" ca="1" si="5"/>
        <v>6265.5</v>
      </c>
      <c r="G34" s="641">
        <f ca="1">MIN($D$10,$A$13)*0.74</f>
        <v>8.14</v>
      </c>
      <c r="H34" s="641">
        <f t="shared" ca="1" si="6"/>
        <v>0.26852987012987012</v>
      </c>
      <c r="J34" s="626"/>
      <c r="K34" s="627" t="s">
        <v>1792</v>
      </c>
      <c r="L34" s="639">
        <v>230</v>
      </c>
      <c r="M34" s="644">
        <v>3</v>
      </c>
      <c r="N34" s="644">
        <v>9</v>
      </c>
      <c r="O34" s="638" t="s">
        <v>537</v>
      </c>
    </row>
    <row r="35" spans="1:15">
      <c r="A35" s="631">
        <f t="shared" ca="1" si="0"/>
        <v>2.1374916923076923</v>
      </c>
      <c r="B35" s="631">
        <f t="shared" ca="1" si="1"/>
        <v>6362.9</v>
      </c>
      <c r="C35" s="641">
        <f t="shared" ca="1" si="2"/>
        <v>9.3863263342928191E-4</v>
      </c>
      <c r="D35" s="641">
        <f t="shared" ca="1" si="3"/>
        <v>1.5640535186161229</v>
      </c>
      <c r="E35" s="641">
        <f t="shared" ca="1" si="4"/>
        <v>-47953.638617119999</v>
      </c>
      <c r="F35" s="641">
        <f t="shared" ca="1" si="5"/>
        <v>6362.9</v>
      </c>
      <c r="G35" s="641">
        <f ca="1">MIN($D$10,$A$13)*0.72</f>
        <v>7.92</v>
      </c>
      <c r="H35" s="641">
        <f t="shared" ca="1" si="6"/>
        <v>0.26988531468531468</v>
      </c>
      <c r="J35" s="626"/>
      <c r="K35" s="627" t="s">
        <v>1793</v>
      </c>
      <c r="L35" s="639">
        <v>230</v>
      </c>
      <c r="M35" s="644">
        <v>6</v>
      </c>
      <c r="N35" s="644">
        <v>18</v>
      </c>
      <c r="O35" s="638" t="s">
        <v>537</v>
      </c>
    </row>
    <row r="36" spans="1:15">
      <c r="A36" s="631">
        <f t="shared" ca="1" si="0"/>
        <v>2.0885538461538462</v>
      </c>
      <c r="B36" s="631">
        <f t="shared" ca="1" si="1"/>
        <v>6461.9</v>
      </c>
      <c r="C36" s="641">
        <f t="shared" ca="1" si="2"/>
        <v>9.1469902465344936E-4</v>
      </c>
      <c r="D36" s="641">
        <f t="shared" ca="1" si="3"/>
        <v>1.5206075875434526</v>
      </c>
      <c r="E36" s="641">
        <f t="shared" ca="1" si="4"/>
        <v>-48020.411563249996</v>
      </c>
      <c r="F36" s="641">
        <f t="shared" ca="1" si="5"/>
        <v>6461.9</v>
      </c>
      <c r="G36" s="641">
        <f ca="1">MIN($D$10,$A$13)*0.7</f>
        <v>7.6999999999999993</v>
      </c>
      <c r="H36" s="641">
        <f t="shared" ca="1" si="6"/>
        <v>0.2712407592407593</v>
      </c>
      <c r="K36" s="627" t="s">
        <v>1794</v>
      </c>
      <c r="L36" s="639">
        <v>230</v>
      </c>
      <c r="M36" s="644">
        <v>12</v>
      </c>
      <c r="N36" s="644">
        <v>30</v>
      </c>
      <c r="O36" s="638" t="s">
        <v>537</v>
      </c>
    </row>
    <row r="37" spans="1:15">
      <c r="A37" s="631">
        <f t="shared" ca="1" si="0"/>
        <v>2.0390196043956044</v>
      </c>
      <c r="B37" s="631">
        <f t="shared" ca="1" si="1"/>
        <v>6562.5</v>
      </c>
      <c r="C37" s="641">
        <f t="shared" ca="1" si="2"/>
        <v>8.9143960204031631E-4</v>
      </c>
      <c r="D37" s="641">
        <f t="shared" ca="1" si="3"/>
        <v>1.4771616564707826</v>
      </c>
      <c r="E37" s="641">
        <f t="shared" ca="1" si="4"/>
        <v>-48085.303581319997</v>
      </c>
      <c r="F37" s="641">
        <f t="shared" ca="1" si="5"/>
        <v>6562.5</v>
      </c>
      <c r="G37" s="641">
        <f ca="1">MIN($D$10,$A$13)*0.68</f>
        <v>7.48</v>
      </c>
      <c r="H37" s="641">
        <f t="shared" ca="1" si="6"/>
        <v>0.27259620379620375</v>
      </c>
      <c r="K37" s="627" t="s">
        <v>1795</v>
      </c>
      <c r="L37" s="639">
        <v>230</v>
      </c>
      <c r="M37" s="644">
        <v>24</v>
      </c>
      <c r="N37" s="644">
        <v>48</v>
      </c>
      <c r="O37" s="638" t="s">
        <v>537</v>
      </c>
    </row>
    <row r="38" spans="1:15">
      <c r="A38" s="631">
        <f t="shared" ca="1" si="0"/>
        <v>1.9888889670329672</v>
      </c>
      <c r="B38" s="631">
        <f t="shared" ca="1" si="1"/>
        <v>6664.7</v>
      </c>
      <c r="C38" s="641">
        <f t="shared" ca="1" si="2"/>
        <v>8.6885436558988265E-4</v>
      </c>
      <c r="D38" s="641">
        <f t="shared" ca="1" si="3"/>
        <v>1.4337157253981128</v>
      </c>
      <c r="E38" s="641">
        <f t="shared" ca="1" si="4"/>
        <v>-48148.314671329994</v>
      </c>
      <c r="F38" s="641">
        <f t="shared" ca="1" si="5"/>
        <v>6664.7</v>
      </c>
      <c r="G38" s="641">
        <f ca="1">MIN($D$10,$A$13)*0.66</f>
        <v>7.2600000000000007</v>
      </c>
      <c r="H38" s="641">
        <f t="shared" ca="1" si="6"/>
        <v>0.27395164835164837</v>
      </c>
      <c r="K38" s="627" t="s">
        <v>1796</v>
      </c>
      <c r="L38" s="639">
        <v>480</v>
      </c>
      <c r="M38" s="644">
        <v>3</v>
      </c>
      <c r="N38" s="644">
        <v>9</v>
      </c>
      <c r="O38" s="638" t="s">
        <v>537</v>
      </c>
    </row>
    <row r="39" spans="1:15">
      <c r="A39" s="631">
        <f t="shared" ca="1" si="0"/>
        <v>1.938161934065934</v>
      </c>
      <c r="B39" s="631">
        <f t="shared" ca="1" si="1"/>
        <v>6768.4</v>
      </c>
      <c r="C39" s="641">
        <f t="shared" ca="1" si="2"/>
        <v>8.4694331530214871E-4</v>
      </c>
      <c r="D39" s="641">
        <f t="shared" ca="1" si="3"/>
        <v>1.3902697943254425</v>
      </c>
      <c r="E39" s="641">
        <f t="shared" ca="1" si="4"/>
        <v>-48209.444833279995</v>
      </c>
      <c r="F39" s="641">
        <f t="shared" ca="1" si="5"/>
        <v>6768.4</v>
      </c>
      <c r="G39" s="641">
        <f ca="1">MIN($D$10,$A$13)*0.64</f>
        <v>7.04</v>
      </c>
      <c r="H39" s="641">
        <f t="shared" ca="1" si="6"/>
        <v>0.27530709290709288</v>
      </c>
      <c r="K39" s="627" t="s">
        <v>1797</v>
      </c>
      <c r="L39" s="639">
        <v>480</v>
      </c>
      <c r="M39" s="644">
        <v>6</v>
      </c>
      <c r="N39" s="644">
        <v>18</v>
      </c>
      <c r="O39" s="638" t="s">
        <v>537</v>
      </c>
    </row>
    <row r="40" spans="1:15">
      <c r="A40" s="631">
        <f t="shared" ca="1" si="0"/>
        <v>1.8868385054945054</v>
      </c>
      <c r="B40" s="631">
        <f t="shared" ca="1" si="1"/>
        <v>6873.6</v>
      </c>
      <c r="C40" s="641">
        <f t="shared" ca="1" si="2"/>
        <v>8.2570645117711417E-4</v>
      </c>
      <c r="D40" s="641">
        <f t="shared" ca="1" si="3"/>
        <v>1.3468238632527725</v>
      </c>
      <c r="E40" s="641">
        <f t="shared" ca="1" si="4"/>
        <v>-48268.694067169999</v>
      </c>
      <c r="F40" s="641">
        <f t="shared" ca="1" si="5"/>
        <v>6873.6</v>
      </c>
      <c r="G40" s="641">
        <f ca="1">MIN($D$10,$A$13)*0.62</f>
        <v>6.82</v>
      </c>
      <c r="H40" s="641">
        <f t="shared" ca="1" si="6"/>
        <v>0.27666253746253744</v>
      </c>
      <c r="K40" s="627" t="s">
        <v>1798</v>
      </c>
      <c r="L40" s="639">
        <v>480</v>
      </c>
      <c r="M40" s="644">
        <v>12</v>
      </c>
      <c r="N40" s="644">
        <v>30</v>
      </c>
      <c r="O40" s="638" t="s">
        <v>537</v>
      </c>
    </row>
    <row r="41" spans="1:15">
      <c r="A41" s="631">
        <f t="shared" ca="1" si="0"/>
        <v>1.8349186813186811</v>
      </c>
      <c r="B41" s="631">
        <f t="shared" ca="1" si="1"/>
        <v>6980.1</v>
      </c>
      <c r="C41" s="641">
        <f t="shared" ca="1" si="2"/>
        <v>8.0514377321477901E-4</v>
      </c>
      <c r="D41" s="641">
        <f t="shared" ca="1" si="3"/>
        <v>1.3033779321801022</v>
      </c>
      <c r="E41" s="641">
        <f t="shared" ca="1" si="4"/>
        <v>-48326.062372999993</v>
      </c>
      <c r="F41" s="641">
        <f t="shared" ca="1" si="5"/>
        <v>6980.1</v>
      </c>
      <c r="G41" s="641">
        <f ca="1">MIN($D$10,$A$13)*0.6</f>
        <v>6.6</v>
      </c>
      <c r="H41" s="641">
        <f t="shared" ca="1" si="6"/>
        <v>0.278017982017982</v>
      </c>
      <c r="K41" s="627" t="s">
        <v>1799</v>
      </c>
      <c r="L41" s="639">
        <v>480</v>
      </c>
      <c r="M41" s="644">
        <v>24</v>
      </c>
      <c r="N41" s="644">
        <v>48</v>
      </c>
      <c r="O41" s="638" t="s">
        <v>537</v>
      </c>
    </row>
    <row r="42" spans="1:15">
      <c r="A42" s="631">
        <f t="shared" ca="1" si="0"/>
        <v>1.7824024615384615</v>
      </c>
      <c r="B42" s="631">
        <f t="shared" ca="1" si="1"/>
        <v>7088</v>
      </c>
      <c r="C42" s="641">
        <f t="shared" ca="1" si="2"/>
        <v>7.8525528141514358E-4</v>
      </c>
      <c r="D42" s="641">
        <f t="shared" ca="1" si="3"/>
        <v>1.2599320011074322</v>
      </c>
      <c r="E42" s="641">
        <f t="shared" ca="1" si="4"/>
        <v>-48381.549750769998</v>
      </c>
      <c r="F42" s="641">
        <f t="shared" ca="1" si="5"/>
        <v>7088</v>
      </c>
      <c r="G42" s="641">
        <f ca="1">MIN($D$10,$A$13)*0.58</f>
        <v>6.38</v>
      </c>
      <c r="H42" s="641">
        <f t="shared" ca="1" si="6"/>
        <v>0.27937342657342656</v>
      </c>
      <c r="K42" s="627" t="s">
        <v>1800</v>
      </c>
      <c r="L42" s="639">
        <v>480</v>
      </c>
      <c r="M42" s="640" t="s">
        <v>1801</v>
      </c>
      <c r="N42" s="640" t="s">
        <v>1802</v>
      </c>
      <c r="O42" s="638" t="s">
        <v>511</v>
      </c>
    </row>
    <row r="43" spans="1:15">
      <c r="A43" s="631">
        <f t="shared" ca="1" si="0"/>
        <v>1.7292898461538462</v>
      </c>
      <c r="B43" s="631">
        <f t="shared" ca="1" si="1"/>
        <v>7197.1</v>
      </c>
      <c r="C43" s="641">
        <f t="shared" ca="1" si="2"/>
        <v>7.6604097577820753E-4</v>
      </c>
      <c r="D43" s="641">
        <f t="shared" ca="1" si="3"/>
        <v>1.2164860700347622</v>
      </c>
      <c r="E43" s="641">
        <f t="shared" ca="1" si="4"/>
        <v>-48435.156200479993</v>
      </c>
      <c r="F43" s="641">
        <f t="shared" ca="1" si="5"/>
        <v>7197.1</v>
      </c>
      <c r="G43" s="641">
        <f ca="1">MIN($D$10,$A$13)*0.56</f>
        <v>6.16</v>
      </c>
      <c r="H43" s="641">
        <f t="shared" ca="1" si="6"/>
        <v>0.28072887112887113</v>
      </c>
      <c r="K43" s="627" t="s">
        <v>1740</v>
      </c>
      <c r="L43" s="639">
        <v>480</v>
      </c>
      <c r="M43" s="640">
        <v>1000</v>
      </c>
      <c r="N43" s="640">
        <v>1000</v>
      </c>
      <c r="O43" s="638" t="s">
        <v>511</v>
      </c>
    </row>
    <row r="44" spans="1:15">
      <c r="A44" s="631">
        <f t="shared" ca="1" si="0"/>
        <v>1.6755808351648354</v>
      </c>
      <c r="B44" s="631">
        <f t="shared" ca="1" si="1"/>
        <v>7307.4</v>
      </c>
      <c r="C44" s="641">
        <f t="shared" ca="1" si="2"/>
        <v>7.4750085630397099E-4</v>
      </c>
      <c r="D44" s="641">
        <f t="shared" ca="1" si="3"/>
        <v>1.1730401389620921</v>
      </c>
      <c r="E44" s="641">
        <f t="shared" ca="1" si="4"/>
        <v>-48486.881722129998</v>
      </c>
      <c r="F44" s="641">
        <f t="shared" ca="1" si="5"/>
        <v>7307.4</v>
      </c>
      <c r="G44" s="641">
        <f ca="1">MIN($D$10,$A$13)*0.54</f>
        <v>5.94</v>
      </c>
      <c r="H44" s="641">
        <f t="shared" ca="1" si="6"/>
        <v>0.28208431568431569</v>
      </c>
      <c r="K44" s="627" t="s">
        <v>1803</v>
      </c>
      <c r="L44" s="638" t="s">
        <v>1804</v>
      </c>
      <c r="M44" s="644">
        <v>5</v>
      </c>
      <c r="N44" s="644">
        <v>10</v>
      </c>
      <c r="O44" s="638" t="s">
        <v>511</v>
      </c>
    </row>
    <row r="45" spans="1:15">
      <c r="A45" s="631">
        <f t="shared" ca="1" si="0"/>
        <v>1.6212754285714288</v>
      </c>
      <c r="B45" s="631">
        <f t="shared" ca="1" si="1"/>
        <v>7418.7</v>
      </c>
      <c r="C45" s="641">
        <f t="shared" ca="1" si="2"/>
        <v>7.2963492299243417E-4</v>
      </c>
      <c r="D45" s="641">
        <f t="shared" ca="1" si="3"/>
        <v>1.1295942078894223</v>
      </c>
      <c r="E45" s="641">
        <f t="shared" ca="1" si="4"/>
        <v>-48536.726315719992</v>
      </c>
      <c r="F45" s="641">
        <f t="shared" ca="1" si="5"/>
        <v>7418.7</v>
      </c>
      <c r="G45" s="641">
        <f ca="1">MIN($D$10,$A$13)*0.52</f>
        <v>5.7200000000000006</v>
      </c>
      <c r="H45" s="641">
        <f t="shared" ca="1" si="6"/>
        <v>0.28343976023976025</v>
      </c>
      <c r="K45" s="627" t="s">
        <v>1805</v>
      </c>
      <c r="L45" s="639">
        <v>480</v>
      </c>
      <c r="M45" s="644">
        <v>10</v>
      </c>
      <c r="N45" s="644">
        <v>20</v>
      </c>
      <c r="O45" s="638" t="s">
        <v>511</v>
      </c>
    </row>
    <row r="46" spans="1:15">
      <c r="A46" s="631">
        <f t="shared" ca="1" si="0"/>
        <v>1.5663736263736265</v>
      </c>
      <c r="B46" s="631">
        <f t="shared" ca="1" si="1"/>
        <v>7530.8</v>
      </c>
      <c r="C46" s="641">
        <f t="shared" ca="1" si="2"/>
        <v>7.1244317584359652E-4</v>
      </c>
      <c r="D46" s="641">
        <f t="shared" ca="1" si="3"/>
        <v>1.0861482768167521</v>
      </c>
      <c r="E46" s="641">
        <f t="shared" ca="1" si="4"/>
        <v>-48584.689981249998</v>
      </c>
      <c r="F46" s="641">
        <f t="shared" ca="1" si="5"/>
        <v>7530.8</v>
      </c>
      <c r="G46" s="641">
        <f ca="1">MIN($D$10,$A$13)*0.5</f>
        <v>5.5</v>
      </c>
      <c r="H46" s="641">
        <f t="shared" ca="1" si="6"/>
        <v>0.28479520479520481</v>
      </c>
      <c r="K46" s="627" t="s">
        <v>1806</v>
      </c>
      <c r="L46" s="639">
        <v>480</v>
      </c>
      <c r="M46" s="644">
        <v>15</v>
      </c>
      <c r="N46" s="644">
        <v>30</v>
      </c>
      <c r="O46" s="638" t="s">
        <v>511</v>
      </c>
    </row>
    <row r="47" spans="1:15">
      <c r="A47" s="631">
        <f t="shared" ca="1" si="0"/>
        <v>1.5108754285714285</v>
      </c>
      <c r="B47" s="631">
        <f t="shared" ca="1" si="1"/>
        <v>7643.7</v>
      </c>
      <c r="C47" s="641">
        <f t="shared" ca="1" si="2"/>
        <v>6.9592561485745858E-4</v>
      </c>
      <c r="D47" s="641">
        <f t="shared" ca="1" si="3"/>
        <v>1.0427023457440818</v>
      </c>
      <c r="E47" s="641">
        <f t="shared" ca="1" si="4"/>
        <v>-48630.772718719993</v>
      </c>
      <c r="F47" s="641">
        <f t="shared" ca="1" si="5"/>
        <v>7643.7</v>
      </c>
      <c r="G47" s="641">
        <f ca="1">MIN($D$10,$A$13)*0.48</f>
        <v>5.2799999999999994</v>
      </c>
      <c r="H47" s="641">
        <f t="shared" ca="1" si="6"/>
        <v>0.28615064935064938</v>
      </c>
      <c r="K47" s="627" t="s">
        <v>1807</v>
      </c>
      <c r="L47" s="639">
        <v>480</v>
      </c>
      <c r="M47" s="644">
        <v>20</v>
      </c>
      <c r="N47" s="644">
        <v>40</v>
      </c>
      <c r="O47" s="638" t="s">
        <v>511</v>
      </c>
    </row>
    <row r="48" spans="1:15">
      <c r="A48" s="631">
        <f t="shared" ca="1" si="0"/>
        <v>1.4547808351648353</v>
      </c>
      <c r="B48" s="631">
        <f t="shared" ca="1" si="1"/>
        <v>7757.2</v>
      </c>
      <c r="C48" s="641">
        <f t="shared" ca="1" si="2"/>
        <v>6.8008224003402015E-4</v>
      </c>
      <c r="D48" s="641">
        <f t="shared" ca="1" si="3"/>
        <v>0.99925641467141191</v>
      </c>
      <c r="E48" s="641">
        <f t="shared" ca="1" si="4"/>
        <v>-48674.974528129998</v>
      </c>
      <c r="F48" s="641">
        <f t="shared" ca="1" si="5"/>
        <v>7757.2</v>
      </c>
      <c r="G48" s="641">
        <f ca="1">MIN($D$10,$A$13)*0.46</f>
        <v>5.0600000000000005</v>
      </c>
      <c r="H48" s="641">
        <f t="shared" ca="1" si="6"/>
        <v>0.28750609390609388</v>
      </c>
    </row>
    <row r="49" spans="1:8">
      <c r="A49" s="631">
        <f t="shared" ca="1" si="0"/>
        <v>1.398089846153846</v>
      </c>
      <c r="B49" s="631">
        <f t="shared" ca="1" si="1"/>
        <v>7871.1</v>
      </c>
      <c r="C49" s="641">
        <f t="shared" ca="1" si="2"/>
        <v>6.6491305137328122E-4</v>
      </c>
      <c r="D49" s="641">
        <f t="shared" ca="1" si="3"/>
        <v>0.95581048359874177</v>
      </c>
      <c r="E49" s="641">
        <f t="shared" ca="1" si="4"/>
        <v>-48717.295409479993</v>
      </c>
      <c r="F49" s="641">
        <f t="shared" ca="1" si="5"/>
        <v>7871.1</v>
      </c>
      <c r="G49" s="641">
        <f ca="1">MIN($D$10,$A$13)*0.44</f>
        <v>4.84</v>
      </c>
      <c r="H49" s="641">
        <f t="shared" ca="1" si="6"/>
        <v>0.28886153846153845</v>
      </c>
    </row>
    <row r="50" spans="1:8">
      <c r="A50" s="631">
        <f t="shared" ca="1" si="0"/>
        <v>1.3408024615384615</v>
      </c>
      <c r="B50" s="631">
        <f t="shared" ca="1" si="1"/>
        <v>7985.2</v>
      </c>
      <c r="C50" s="641">
        <f t="shared" ca="1" si="2"/>
        <v>6.5041804887524179E-4</v>
      </c>
      <c r="D50" s="641">
        <f t="shared" ca="1" si="3"/>
        <v>0.91236455252607163</v>
      </c>
      <c r="E50" s="641">
        <f t="shared" ca="1" si="4"/>
        <v>-48757.735362769999</v>
      </c>
      <c r="F50" s="641">
        <f t="shared" ca="1" si="5"/>
        <v>7985.2</v>
      </c>
      <c r="G50" s="641">
        <f ca="1">MIN($D$10,$A$13)*0.42</f>
        <v>4.62</v>
      </c>
      <c r="H50" s="641">
        <f t="shared" ca="1" si="6"/>
        <v>0.29021698301698301</v>
      </c>
    </row>
    <row r="51" spans="1:8">
      <c r="A51" s="631">
        <f t="shared" ca="1" si="0"/>
        <v>1.2829186813186786</v>
      </c>
      <c r="B51" s="631">
        <f t="shared" ca="1" si="1"/>
        <v>8000</v>
      </c>
      <c r="C51" s="641">
        <f t="shared" ca="1" si="2"/>
        <v>6.3659723253990121E-4</v>
      </c>
      <c r="D51" s="641">
        <f t="shared" ca="1" si="3"/>
        <v>0.86891862145339949</v>
      </c>
      <c r="E51" s="641">
        <f t="shared" ca="1" si="4"/>
        <v>-48796.294387999995</v>
      </c>
      <c r="F51" s="641">
        <f t="shared" ca="1" si="5"/>
        <v>8099.2</v>
      </c>
      <c r="G51" s="641">
        <f ca="1">MIN($D$10,$A$13)*0.399999999999999</f>
        <v>4.3999999999999897</v>
      </c>
      <c r="H51" s="641">
        <f t="shared" ca="1" si="6"/>
        <v>0.29157242757242763</v>
      </c>
    </row>
    <row r="52" spans="1:8">
      <c r="A52" s="631">
        <f t="shared" ca="1" si="0"/>
        <v>1.2244385054945026</v>
      </c>
      <c r="B52" s="631">
        <f t="shared" ca="1" si="1"/>
        <v>8000</v>
      </c>
      <c r="C52" s="641">
        <f t="shared" ca="1" si="2"/>
        <v>6.2345060236726067E-4</v>
      </c>
      <c r="D52" s="641">
        <f t="shared" ca="1" si="3"/>
        <v>0.82547269038072935</v>
      </c>
      <c r="E52" s="641">
        <f t="shared" ca="1" si="4"/>
        <v>-48832.972485170001</v>
      </c>
      <c r="F52" s="641">
        <f t="shared" ca="1" si="5"/>
        <v>8213</v>
      </c>
      <c r="G52" s="641">
        <f ca="1">MIN($D$10,$A$13)*0.379999999999999</f>
        <v>4.1799999999999891</v>
      </c>
      <c r="H52" s="641">
        <f t="shared" ca="1" si="6"/>
        <v>0.29292787212787219</v>
      </c>
    </row>
    <row r="53" spans="1:8">
      <c r="A53" s="631">
        <f t="shared" ref="A53:A70" ca="1" si="7">G53*($G$10/$H$10-($G$10/$H$10-$I$10/$D$10)/$D$10*G53)</f>
        <v>1.1653619340659311</v>
      </c>
      <c r="B53" s="631">
        <f t="shared" ref="B53:B71" ca="1" si="8">MAX(MIN(F53,$F$10),0)</f>
        <v>8000</v>
      </c>
      <c r="C53" s="641">
        <f t="shared" ref="C53:C71" ca="1" si="9">($C$10^2)/1000000+(($B$10/1000)^2*G53^2*PI()*PI()*($E$10/2)^2)/1200</f>
        <v>6.1097815835731986E-4</v>
      </c>
      <c r="D53" s="641">
        <f t="shared" ref="D53:D71" ca="1" si="10">SQRT(3)*$C$10*$A$10*G53/1000</f>
        <v>0.78202675930805921</v>
      </c>
      <c r="E53" s="641">
        <f t="shared" ref="E53:E71" ca="1" si="11">0.75*$A$10^2*G53^2-($C$2/SQRT(2)*0.98)^2</f>
        <v>-48867.769654279997</v>
      </c>
      <c r="F53" s="641">
        <f t="shared" ref="F53:F71" ca="1" si="12">ROUND((-D53/2/C53+SQRT((D53/2/C53)^2-E53/C53)),1)</f>
        <v>8326.2000000000007</v>
      </c>
      <c r="G53" s="641">
        <f ca="1">MIN($D$10,$A$13)*0.359999999999999</f>
        <v>3.9599999999999889</v>
      </c>
      <c r="H53" s="641">
        <f t="shared" ref="H53:H70" ca="1" si="13">A53/G53</f>
        <v>0.29428331668331675</v>
      </c>
    </row>
    <row r="54" spans="1:8">
      <c r="A54" s="631">
        <f t="shared" ca="1" si="7"/>
        <v>1.1056889670329642</v>
      </c>
      <c r="B54" s="631">
        <f t="shared" ca="1" si="8"/>
        <v>8000</v>
      </c>
      <c r="C54" s="641">
        <f t="shared" ca="1" si="9"/>
        <v>5.9917990051007843E-4</v>
      </c>
      <c r="D54" s="641">
        <f t="shared" ca="1" si="10"/>
        <v>0.73858082823538918</v>
      </c>
      <c r="E54" s="641">
        <f t="shared" ca="1" si="11"/>
        <v>-48900.685895329996</v>
      </c>
      <c r="F54" s="641">
        <f t="shared" ca="1" si="12"/>
        <v>8438.6</v>
      </c>
      <c r="G54" s="641">
        <f ca="1">MIN($D$10,$A$13)*0.339999999999999</f>
        <v>3.7399999999999891</v>
      </c>
      <c r="H54" s="641">
        <f t="shared" ca="1" si="13"/>
        <v>0.29563876123876132</v>
      </c>
    </row>
    <row r="55" spans="1:8">
      <c r="A55" s="631">
        <f t="shared" ca="1" si="7"/>
        <v>1.0454196043956014</v>
      </c>
      <c r="B55" s="631">
        <f t="shared" ca="1" si="8"/>
        <v>8000</v>
      </c>
      <c r="C55" s="641">
        <f t="shared" ca="1" si="9"/>
        <v>5.8805582882553661E-4</v>
      </c>
      <c r="D55" s="641">
        <f t="shared" ca="1" si="10"/>
        <v>0.69513489716271903</v>
      </c>
      <c r="E55" s="641">
        <f t="shared" ca="1" si="11"/>
        <v>-48931.721208319999</v>
      </c>
      <c r="F55" s="641">
        <f t="shared" ca="1" si="12"/>
        <v>8550</v>
      </c>
      <c r="G55" s="641">
        <f ca="1">MIN($D$10,$A$13)*0.319999999999999</f>
        <v>3.5199999999999889</v>
      </c>
      <c r="H55" s="641">
        <f t="shared" ca="1" si="13"/>
        <v>0.29699420579420588</v>
      </c>
    </row>
    <row r="56" spans="1:8">
      <c r="A56" s="631">
        <f t="shared" ca="1" si="7"/>
        <v>0.98455384615384289</v>
      </c>
      <c r="B56" s="631">
        <f t="shared" ca="1" si="8"/>
        <v>8000</v>
      </c>
      <c r="C56" s="641">
        <f t="shared" ca="1" si="9"/>
        <v>5.7760594330369419E-4</v>
      </c>
      <c r="D56" s="641">
        <f t="shared" ca="1" si="10"/>
        <v>0.65168896609004889</v>
      </c>
      <c r="E56" s="641">
        <f t="shared" ca="1" si="11"/>
        <v>-48960.875593249999</v>
      </c>
      <c r="F56" s="641">
        <f t="shared" ca="1" si="12"/>
        <v>8659.9</v>
      </c>
      <c r="G56" s="641">
        <f ca="1">MIN($D$10,$A$13)*0.299999999999999</f>
        <v>3.2999999999999887</v>
      </c>
      <c r="H56" s="641">
        <f t="shared" ca="1" si="13"/>
        <v>0.29834965034965039</v>
      </c>
    </row>
    <row r="57" spans="1:8">
      <c r="A57" s="631">
        <f t="shared" ca="1" si="7"/>
        <v>0.92309169230768928</v>
      </c>
      <c r="B57" s="631">
        <f t="shared" ca="1" si="8"/>
        <v>8000</v>
      </c>
      <c r="C57" s="641">
        <f t="shared" ca="1" si="9"/>
        <v>5.6783024394455137E-4</v>
      </c>
      <c r="D57" s="641">
        <f t="shared" ca="1" si="10"/>
        <v>0.60824303501737909</v>
      </c>
      <c r="E57" s="641">
        <f t="shared" ca="1" si="11"/>
        <v>-48988.149050119995</v>
      </c>
      <c r="F57" s="641">
        <f t="shared" ca="1" si="12"/>
        <v>8768.1</v>
      </c>
      <c r="G57" s="641">
        <f ca="1">MIN($D$10,$A$13)*0.279999999999999</f>
        <v>3.0799999999999894</v>
      </c>
      <c r="H57" s="641">
        <f t="shared" ca="1" si="13"/>
        <v>0.29970509490509495</v>
      </c>
    </row>
    <row r="58" spans="1:8">
      <c r="A58" s="631">
        <f t="shared" ca="1" si="7"/>
        <v>0.86103314285713972</v>
      </c>
      <c r="B58" s="631">
        <f t="shared" ca="1" si="8"/>
        <v>8000</v>
      </c>
      <c r="C58" s="641">
        <f t="shared" ca="1" si="9"/>
        <v>5.5872873074810806E-4</v>
      </c>
      <c r="D58" s="641">
        <f t="shared" ca="1" si="10"/>
        <v>0.56479710394470883</v>
      </c>
      <c r="E58" s="641">
        <f t="shared" ca="1" si="11"/>
        <v>-49013.541578929995</v>
      </c>
      <c r="F58" s="641">
        <f t="shared" ca="1" si="12"/>
        <v>8874.2999999999993</v>
      </c>
      <c r="G58" s="641">
        <f ca="1">MIN($D$10,$A$13)*0.259999999999999</f>
        <v>2.8599999999999892</v>
      </c>
      <c r="H58" s="641">
        <f t="shared" ca="1" si="13"/>
        <v>0.30106053946053951</v>
      </c>
    </row>
    <row r="59" spans="1:8">
      <c r="A59" s="631">
        <f t="shared" ca="1" si="7"/>
        <v>0.79837819780219466</v>
      </c>
      <c r="B59" s="631">
        <f t="shared" ca="1" si="8"/>
        <v>8000</v>
      </c>
      <c r="C59" s="641">
        <f t="shared" ca="1" si="9"/>
        <v>5.5030140371436424E-4</v>
      </c>
      <c r="D59" s="641">
        <f t="shared" ca="1" si="10"/>
        <v>0.5213511728720388</v>
      </c>
      <c r="E59" s="641">
        <f t="shared" ca="1" si="11"/>
        <v>-49037.053179679999</v>
      </c>
      <c r="F59" s="641">
        <f t="shared" ca="1" si="12"/>
        <v>8978</v>
      </c>
      <c r="G59" s="641">
        <f ca="1">MIN($D$10,$A$13)*0.239999999999999</f>
        <v>2.639999999999989</v>
      </c>
      <c r="H59" s="641">
        <f t="shared" ca="1" si="13"/>
        <v>0.30241598401598407</v>
      </c>
    </row>
    <row r="60" spans="1:8">
      <c r="A60" s="631">
        <f t="shared" ca="1" si="7"/>
        <v>0.73512685714285386</v>
      </c>
      <c r="B60" s="631">
        <f t="shared" ca="1" si="8"/>
        <v>8000</v>
      </c>
      <c r="C60" s="641">
        <f t="shared" ca="1" si="9"/>
        <v>5.4254826284331993E-4</v>
      </c>
      <c r="D60" s="641">
        <f t="shared" ca="1" si="10"/>
        <v>0.47790524179936866</v>
      </c>
      <c r="E60" s="641">
        <f t="shared" ca="1" si="11"/>
        <v>-49058.683852369999</v>
      </c>
      <c r="F60" s="641">
        <f t="shared" ca="1" si="12"/>
        <v>9078.9</v>
      </c>
      <c r="G60" s="641">
        <f ca="1">MIN($D$10,$A$13)*0.219999999999999</f>
        <v>2.4199999999999888</v>
      </c>
      <c r="H60" s="641">
        <f t="shared" ca="1" si="13"/>
        <v>0.30377142857142864</v>
      </c>
    </row>
    <row r="61" spans="1:8">
      <c r="A61" s="631">
        <f t="shared" ca="1" si="7"/>
        <v>0.67127912087911767</v>
      </c>
      <c r="B61" s="631">
        <f t="shared" ca="1" si="8"/>
        <v>8000</v>
      </c>
      <c r="C61" s="641">
        <f t="shared" ca="1" si="9"/>
        <v>5.3546930813497512E-4</v>
      </c>
      <c r="D61" s="641">
        <f t="shared" ca="1" si="10"/>
        <v>0.43445931072669863</v>
      </c>
      <c r="E61" s="641">
        <f t="shared" ca="1" si="11"/>
        <v>-49078.433596999996</v>
      </c>
      <c r="F61" s="641">
        <f t="shared" ca="1" si="12"/>
        <v>9176.6</v>
      </c>
      <c r="G61" s="641">
        <f ca="1">MIN($D$10,$A$13)*0.199999999999999</f>
        <v>2.1999999999999891</v>
      </c>
      <c r="H61" s="641">
        <f t="shared" ca="1" si="13"/>
        <v>0.3051268731268732</v>
      </c>
    </row>
    <row r="62" spans="1:8">
      <c r="A62" s="631">
        <f t="shared" ca="1" si="7"/>
        <v>0.60683498901098565</v>
      </c>
      <c r="B62" s="631">
        <f t="shared" ca="1" si="8"/>
        <v>8000</v>
      </c>
      <c r="C62" s="641">
        <f t="shared" ca="1" si="9"/>
        <v>5.290645395893298E-4</v>
      </c>
      <c r="D62" s="641">
        <f t="shared" ca="1" si="10"/>
        <v>0.39101337965402849</v>
      </c>
      <c r="E62" s="641">
        <f t="shared" ca="1" si="11"/>
        <v>-49096.302413569996</v>
      </c>
      <c r="F62" s="641">
        <f t="shared" ca="1" si="12"/>
        <v>9270.7000000000007</v>
      </c>
      <c r="G62" s="641">
        <f ca="1">MIN($D$10,$A$13)*0.179999999999999</f>
        <v>1.9799999999999889</v>
      </c>
      <c r="H62" s="641">
        <f t="shared" ca="1" si="13"/>
        <v>0.30648231768231771</v>
      </c>
    </row>
    <row r="63" spans="1:8">
      <c r="A63" s="631">
        <f t="shared" ca="1" si="7"/>
        <v>0.54179446153845823</v>
      </c>
      <c r="B63" s="631">
        <f t="shared" ca="1" si="8"/>
        <v>8000</v>
      </c>
      <c r="C63" s="641">
        <f t="shared" ca="1" si="9"/>
        <v>5.2333395720638399E-4</v>
      </c>
      <c r="D63" s="641">
        <f t="shared" ca="1" si="10"/>
        <v>0.34756744858135846</v>
      </c>
      <c r="E63" s="641">
        <f t="shared" ca="1" si="11"/>
        <v>-49112.290302079993</v>
      </c>
      <c r="F63" s="641">
        <f t="shared" ca="1" si="12"/>
        <v>9361</v>
      </c>
      <c r="G63" s="641">
        <f ca="1">MIN($D$10,$A$13)*0.159999999999999</f>
        <v>1.7599999999999891</v>
      </c>
      <c r="H63" s="641">
        <f t="shared" ca="1" si="13"/>
        <v>0.30783776223776227</v>
      </c>
    </row>
    <row r="64" spans="1:8">
      <c r="A64" s="631">
        <f t="shared" ca="1" si="7"/>
        <v>0.47615753846153508</v>
      </c>
      <c r="B64" s="631">
        <f t="shared" ca="1" si="8"/>
        <v>8000</v>
      </c>
      <c r="C64" s="641">
        <f t="shared" ca="1" si="9"/>
        <v>5.1827756098613768E-4</v>
      </c>
      <c r="D64" s="641">
        <f t="shared" ca="1" si="10"/>
        <v>0.30412151750868838</v>
      </c>
      <c r="E64" s="641">
        <f t="shared" ca="1" si="11"/>
        <v>-49126.397262529994</v>
      </c>
      <c r="F64" s="641">
        <f t="shared" ca="1" si="12"/>
        <v>9446.9</v>
      </c>
      <c r="G64" s="641">
        <f ca="1">MIN($D$10,$A$13)*0.139999999999999</f>
        <v>1.5399999999999889</v>
      </c>
      <c r="H64" s="641">
        <f t="shared" ca="1" si="13"/>
        <v>0.30919320679320683</v>
      </c>
    </row>
    <row r="65" spans="1:80">
      <c r="A65" s="631">
        <f t="shared" ca="1" si="7"/>
        <v>0.40992421978021643</v>
      </c>
      <c r="B65" s="631">
        <f t="shared" ca="1" si="8"/>
        <v>8000</v>
      </c>
      <c r="C65" s="641">
        <f t="shared" ca="1" si="9"/>
        <v>5.1389535092859098E-4</v>
      </c>
      <c r="D65" s="641">
        <f t="shared" ca="1" si="10"/>
        <v>0.26067558643601829</v>
      </c>
      <c r="E65" s="641">
        <f t="shared" ca="1" si="11"/>
        <v>-49138.623294919998</v>
      </c>
      <c r="F65" s="641">
        <f t="shared" ca="1" si="12"/>
        <v>9528.2000000000007</v>
      </c>
      <c r="G65" s="641">
        <f ca="1">MIN($D$10,$A$13)*0.119999999999999</f>
        <v>1.319999999999989</v>
      </c>
      <c r="H65" s="641">
        <f t="shared" ca="1" si="13"/>
        <v>0.31054865134865139</v>
      </c>
    </row>
    <row r="66" spans="1:80">
      <c r="A66" s="631">
        <f t="shared" ca="1" si="7"/>
        <v>0.3430945054945021</v>
      </c>
      <c r="B66" s="631">
        <f t="shared" ca="1" si="8"/>
        <v>8000</v>
      </c>
      <c r="C66" s="641">
        <f t="shared" ca="1" si="9"/>
        <v>5.1018732703374367E-4</v>
      </c>
      <c r="D66" s="641">
        <f t="shared" ca="1" si="10"/>
        <v>0.21722965536334823</v>
      </c>
      <c r="E66" s="641">
        <f t="shared" ca="1" si="11"/>
        <v>-49148.968399249999</v>
      </c>
      <c r="F66" s="641">
        <f t="shared" ca="1" si="12"/>
        <v>9604.5</v>
      </c>
      <c r="G66" s="641">
        <f ca="1">MIN($D$10,$A$13)*0.099999999999999</f>
        <v>1.099999999999989</v>
      </c>
      <c r="H66" s="641">
        <f t="shared" ca="1" si="13"/>
        <v>0.31190409590409596</v>
      </c>
    </row>
    <row r="67" spans="1:80">
      <c r="A67" s="631">
        <f t="shared" ca="1" si="7"/>
        <v>0.27566839560439221</v>
      </c>
      <c r="B67" s="631">
        <f t="shared" ca="1" si="8"/>
        <v>8000</v>
      </c>
      <c r="C67" s="641">
        <f t="shared" ca="1" si="9"/>
        <v>5.0715348930159586E-4</v>
      </c>
      <c r="D67" s="641">
        <f t="shared" ca="1" si="10"/>
        <v>0.17378372429067815</v>
      </c>
      <c r="E67" s="641">
        <f t="shared" ca="1" si="11"/>
        <v>-49157.432575519997</v>
      </c>
      <c r="F67" s="641">
        <f t="shared" ca="1" si="12"/>
        <v>9675.4</v>
      </c>
      <c r="G67" s="641">
        <f ca="1">MIN($D$10,$A$13)*0.079999999999999</f>
        <v>0.87999999999998901</v>
      </c>
      <c r="H67" s="641">
        <f t="shared" ca="1" si="13"/>
        <v>0.31325954045954052</v>
      </c>
    </row>
    <row r="68" spans="1:80">
      <c r="A68" s="631">
        <f t="shared" ca="1" si="7"/>
        <v>0.20764589010988635</v>
      </c>
      <c r="B68" s="631">
        <f t="shared" ca="1" si="8"/>
        <v>8000</v>
      </c>
      <c r="C68" s="641">
        <f t="shared" ca="1" si="9"/>
        <v>5.0479383773214767E-4</v>
      </c>
      <c r="D68" s="641">
        <f t="shared" ca="1" si="10"/>
        <v>0.13033779321800784</v>
      </c>
      <c r="E68" s="641">
        <f t="shared" ca="1" si="11"/>
        <v>-49164.015823729998</v>
      </c>
      <c r="F68" s="641">
        <f t="shared" ca="1" si="12"/>
        <v>9740.6</v>
      </c>
      <c r="G68" s="641">
        <f ca="1">MIN($D$10,$A$13)*0.0599999999999989</f>
        <v>0.65999999999998793</v>
      </c>
      <c r="H68" s="641">
        <f t="shared" ca="1" si="13"/>
        <v>0.31461498501498508</v>
      </c>
    </row>
    <row r="69" spans="1:80">
      <c r="A69" s="631">
        <f t="shared" ca="1" si="7"/>
        <v>0.13902698901098556</v>
      </c>
      <c r="B69" s="631">
        <f t="shared" ca="1" si="8"/>
        <v>8000</v>
      </c>
      <c r="C69" s="641">
        <f t="shared" ca="1" si="9"/>
        <v>5.0310837232539897E-4</v>
      </c>
      <c r="D69" s="641">
        <f t="shared" ca="1" si="10"/>
        <v>8.6891862145337978E-2</v>
      </c>
      <c r="E69" s="641">
        <f t="shared" ca="1" si="11"/>
        <v>-49168.718143879996</v>
      </c>
      <c r="F69" s="641">
        <f t="shared" ca="1" si="12"/>
        <v>9799.9</v>
      </c>
      <c r="G69" s="641">
        <f ca="1">MIN($D$10,$A$13)*0.039999999999999</f>
        <v>0.43999999999998901</v>
      </c>
      <c r="H69" s="641">
        <f t="shared" ca="1" si="13"/>
        <v>0.31597042957042965</v>
      </c>
    </row>
    <row r="70" spans="1:80">
      <c r="A70" s="631">
        <f t="shared" ca="1" si="7"/>
        <v>6.9811692307688827E-2</v>
      </c>
      <c r="B70" s="631">
        <f t="shared" ca="1" si="8"/>
        <v>8000</v>
      </c>
      <c r="C70" s="641">
        <f t="shared" ca="1" si="9"/>
        <v>5.0209709308134966E-4</v>
      </c>
      <c r="D70" s="641">
        <f t="shared" ca="1" si="10"/>
        <v>4.3445931072667913E-2</v>
      </c>
      <c r="E70" s="641">
        <f t="shared" ca="1" si="11"/>
        <v>-49171.539535969998</v>
      </c>
      <c r="F70" s="641">
        <f t="shared" ca="1" si="12"/>
        <v>9852.9</v>
      </c>
      <c r="G70" s="641">
        <f ca="1">MIN($D$10,$A$13)*0.019999999999999</f>
        <v>0.21999999999998901</v>
      </c>
      <c r="H70" s="641">
        <f t="shared" ca="1" si="13"/>
        <v>0.31732587412587415</v>
      </c>
    </row>
    <row r="71" spans="1:80">
      <c r="A71" s="631">
        <f ca="1">G71*($G$10/$H$10+($G$10/$H$10-$I$10/$D$10)/$D$10*G71)</f>
        <v>0</v>
      </c>
      <c r="B71" s="631">
        <f t="shared" ca="1" si="8"/>
        <v>8000</v>
      </c>
      <c r="C71" s="641">
        <f t="shared" ca="1" si="9"/>
        <v>5.0175999999999997E-4</v>
      </c>
      <c r="D71" s="641">
        <f t="shared" ca="1" si="10"/>
        <v>0</v>
      </c>
      <c r="E71" s="641">
        <f t="shared" ca="1" si="11"/>
        <v>-49172.479999999996</v>
      </c>
      <c r="F71" s="641">
        <f t="shared" ca="1" si="12"/>
        <v>9899.5</v>
      </c>
      <c r="G71" s="641">
        <f ca="1">MIN($D$10,$A$13)*0</f>
        <v>0</v>
      </c>
      <c r="H71" s="641"/>
    </row>
    <row r="72" spans="1:80">
      <c r="A72" s="633"/>
      <c r="B72" s="631"/>
      <c r="C72" s="645"/>
      <c r="D72" s="645"/>
      <c r="E72" s="645"/>
      <c r="F72" s="645"/>
      <c r="G72" s="645"/>
      <c r="H72" s="641"/>
    </row>
    <row r="73" spans="1:80">
      <c r="A73" s="631"/>
      <c r="B73" s="631">
        <f ca="1">MAX(MIN(F73,$F$10),0)</f>
        <v>8000</v>
      </c>
      <c r="C73" s="641">
        <f ca="1">($C$10^2)/1000000+(($B$10/1000)^2*G73^2*PI()*PI()*($E$10/2)^2)/1200</f>
        <v>5.3536371913754006E-4</v>
      </c>
      <c r="D73" s="641">
        <f ca="1">SQRT(3)*$C$10*$A$10*G73/1000</f>
        <v>0.43377834002023258</v>
      </c>
      <c r="E73" s="641">
        <f ca="1">0.75*$A$10^2*G73^2-($C$2/SQRT(2)*0.98)^2</f>
        <v>-49078.728182263076</v>
      </c>
      <c r="F73" s="641">
        <f ca="1">ROUND((-D73/2/C73+SQRT((D73/2/C73)^2-E73/C73)),0)</f>
        <v>9178</v>
      </c>
      <c r="G73" s="641">
        <f ca="1">MIN(B13,H10/G10*C83)</f>
        <v>2.1965517241379309</v>
      </c>
      <c r="H73" s="641"/>
    </row>
    <row r="74" spans="1:80">
      <c r="A74" s="633"/>
      <c r="B74" s="633"/>
      <c r="C74" s="641"/>
      <c r="D74" s="641"/>
      <c r="E74" s="641"/>
      <c r="F74" s="641"/>
      <c r="G74" s="641"/>
      <c r="H74" s="641"/>
    </row>
    <row r="75" spans="1:80">
      <c r="AF75" s="460" t="s">
        <v>1808</v>
      </c>
    </row>
    <row r="76" spans="1:80">
      <c r="A76" s="586" t="s">
        <v>1809</v>
      </c>
    </row>
    <row r="77" spans="1:80">
      <c r="A77" s="586" t="s">
        <v>1810</v>
      </c>
      <c r="B77" s="586" t="s">
        <v>1772</v>
      </c>
      <c r="AF77" s="646" t="s">
        <v>1811</v>
      </c>
    </row>
    <row r="78" spans="1:80">
      <c r="A78" s="586">
        <f ca="1">IF(D78&gt;$B$71,"",C78)</f>
        <v>0.87</v>
      </c>
      <c r="B78" s="586">
        <f ca="1">IF(D78&gt;$B$71,"",D78)</f>
        <v>0</v>
      </c>
      <c r="C78" s="586">
        <f ca="1">G10</f>
        <v>0.87</v>
      </c>
      <c r="D78" s="586">
        <v>0</v>
      </c>
      <c r="E78" s="586">
        <v>0</v>
      </c>
      <c r="F78" s="586">
        <f ca="1">MIN(A78,$A$154)</f>
        <v>0.87</v>
      </c>
    </row>
    <row r="79" spans="1:80">
      <c r="A79" s="586">
        <f ca="1">IF(D79&gt;$B$71,A78,C79)</f>
        <v>0.85</v>
      </c>
      <c r="B79" s="586">
        <f ca="1">IF(D79&gt;$B$71,B78,D79)</f>
        <v>1000</v>
      </c>
      <c r="C79" s="586">
        <f ca="1">IF(VLOOKUP($A$2,Motorenmatrix,6,FALSE)=0,C78,VLOOKUP($A$2,Motorenmatrix,6,FALSE))</f>
        <v>0.85</v>
      </c>
      <c r="D79" s="586">
        <f ca="1">IF(VLOOKUP($A$2,Motorenmatrix,7,FALSE)=0,D78,VLOOKUP($A$2,Motorenmatrix,7,FALSE))</f>
        <v>1000</v>
      </c>
      <c r="E79" s="586">
        <f ca="1">IF(D79-D78=0,E78,(C79-C78)/(D79-D78))</f>
        <v>-2.0000000000000019E-5</v>
      </c>
      <c r="F79" s="586">
        <f t="shared" ref="F79:F84" ca="1" si="14">MIN(A79,$A$154)</f>
        <v>0.85</v>
      </c>
    </row>
    <row r="80" spans="1:80" ht="13.5" thickBot="1">
      <c r="A80" s="586">
        <f ca="1">IF(D80&gt;$B$71,A79,C80)</f>
        <v>0.81</v>
      </c>
      <c r="B80" s="586">
        <f ca="1">IF(D80&gt;$B$71,B79,D80)</f>
        <v>3500</v>
      </c>
      <c r="C80" s="586">
        <f ca="1">IF(VLOOKUP($A$2,Motorenmatrix,8,FALSE)=0,C79,VLOOKUP($A$2,Motorenmatrix,8,FALSE))</f>
        <v>0.81</v>
      </c>
      <c r="D80" s="586">
        <f ca="1">IF(VLOOKUP($A$2,Motorenmatrix,9,FALSE)=0,D79,VLOOKUP($A$2,Motorenmatrix,9,FALSE))</f>
        <v>3500</v>
      </c>
      <c r="E80" s="586">
        <f ca="1">IF(D80-D79=0,E79,(C80-C79)/(D80-D79))</f>
        <v>-1.5999999999999969E-5</v>
      </c>
      <c r="F80" s="586">
        <f t="shared" ca="1" si="14"/>
        <v>0.81</v>
      </c>
      <c r="I80" s="647"/>
      <c r="U80" s="699"/>
      <c r="V80" s="699"/>
      <c r="W80" s="699"/>
      <c r="X80" s="699"/>
      <c r="Y80" s="699"/>
      <c r="Z80" s="699"/>
      <c r="AA80" s="699"/>
      <c r="AB80" s="699"/>
      <c r="AC80" s="699"/>
      <c r="AD80" s="699"/>
      <c r="AE80" s="699"/>
      <c r="AF80" s="699"/>
      <c r="AG80" s="699"/>
      <c r="AH80" s="58" t="s">
        <v>1812</v>
      </c>
      <c r="AI80" s="699"/>
      <c r="AJ80" s="699"/>
      <c r="AK80" s="699"/>
      <c r="AL80" s="699"/>
      <c r="AM80" s="699"/>
      <c r="AN80" s="699"/>
      <c r="AO80" s="699"/>
      <c r="AP80" s="699"/>
      <c r="AQ80" s="699"/>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699"/>
      <c r="BU80" s="699"/>
      <c r="BV80" s="699"/>
      <c r="BW80" s="699"/>
      <c r="BX80" s="699"/>
      <c r="BY80" s="699"/>
      <c r="BZ80" s="699"/>
      <c r="CA80" s="699"/>
      <c r="CB80" s="699"/>
    </row>
    <row r="81" spans="1:80" ht="13.5" thickBot="1">
      <c r="A81" s="586">
        <f ca="1">IF(D81&gt;$B$71,A80,C81)</f>
        <v>0.7</v>
      </c>
      <c r="B81" s="586">
        <f ca="1">IF(D81&gt;$B$71,B80,D81)</f>
        <v>8000</v>
      </c>
      <c r="C81" s="586">
        <f ca="1">IF(VLOOKUP($A$2,Motorenmatrix,10,FALSE)=0,C80,VLOOKUP($A$2,Motorenmatrix,10,FALSE))</f>
        <v>0.7</v>
      </c>
      <c r="D81" s="586">
        <f ca="1">IF(VLOOKUP($A$2,Motorenmatrix,11,FALSE)=0,D80,VLOOKUP($A$2,Motorenmatrix,11,FALSE))</f>
        <v>8000</v>
      </c>
      <c r="E81" s="586">
        <f ca="1">IF(D81-D80=0,E80,(C81-C80)/(D81-D80))</f>
        <v>-2.4444444444444465E-5</v>
      </c>
      <c r="F81" s="586">
        <f t="shared" ca="1" si="14"/>
        <v>0.7</v>
      </c>
      <c r="I81" s="374"/>
      <c r="U81" s="1058" t="s">
        <v>1863</v>
      </c>
      <c r="V81" s="1059"/>
      <c r="W81" s="1059"/>
      <c r="X81" s="1059"/>
      <c r="Y81" s="1059"/>
      <c r="Z81" s="1059"/>
      <c r="AA81" s="1059"/>
      <c r="AB81" s="1059"/>
      <c r="AC81" s="1059"/>
      <c r="AD81" s="1059"/>
      <c r="AE81" s="1059"/>
      <c r="AF81" s="1059"/>
      <c r="AG81" s="1059"/>
      <c r="AH81" s="1059"/>
      <c r="AI81" s="1059"/>
      <c r="AJ81" s="1059"/>
      <c r="AK81" s="1059"/>
      <c r="AL81" s="1059"/>
      <c r="AM81" s="1059"/>
      <c r="AN81" s="1059"/>
      <c r="AO81" s="1059"/>
      <c r="AP81" s="1059"/>
      <c r="AQ81" s="1059"/>
      <c r="AR81" s="1059"/>
      <c r="AS81" s="1059"/>
      <c r="AT81" s="1059"/>
      <c r="AU81" s="1060"/>
      <c r="AV81" s="699"/>
      <c r="AW81" s="699"/>
      <c r="AX81" s="1058" t="s">
        <v>1769</v>
      </c>
      <c r="AY81" s="1061"/>
      <c r="AZ81" s="1061"/>
      <c r="BA81" s="1061"/>
      <c r="BB81" s="1061"/>
      <c r="BC81" s="1061"/>
      <c r="BD81" s="1061"/>
      <c r="BE81" s="1061"/>
      <c r="BF81" s="1061"/>
      <c r="BG81" s="1061"/>
      <c r="BH81" s="1061"/>
      <c r="BI81" s="1061"/>
      <c r="BJ81" s="1061"/>
      <c r="BK81" s="1061"/>
      <c r="BL81" s="1061"/>
      <c r="BM81" s="1061"/>
      <c r="BN81" s="1061"/>
      <c r="BO81" s="1062"/>
      <c r="BP81" s="699"/>
      <c r="BQ81" s="699"/>
      <c r="BR81" s="699"/>
      <c r="BS81" s="699"/>
      <c r="BT81" s="699"/>
      <c r="BU81" s="699"/>
      <c r="BV81" s="699"/>
      <c r="BW81" s="699"/>
      <c r="BX81" s="699"/>
      <c r="BY81" s="699"/>
      <c r="BZ81" s="699"/>
      <c r="CA81" s="699"/>
      <c r="CB81" s="699"/>
    </row>
    <row r="82" spans="1:80">
      <c r="A82" s="586">
        <f ca="1">IF(D82&gt;$B$71,A81,C82)</f>
        <v>0.7</v>
      </c>
      <c r="B82" s="586">
        <f ca="1">IF(D82&gt;$B$71,B81,D82)</f>
        <v>8000</v>
      </c>
      <c r="C82" s="586">
        <f ca="1">IF(VLOOKUP($A$2,Motorenmatrix,12,FALSE)=0,C81,VLOOKUP($A$2,Motorenmatrix,12,FALSE))</f>
        <v>0.7</v>
      </c>
      <c r="D82" s="586">
        <f ca="1">IF(VLOOKUP($A$2,Motorenmatrix,13,FALSE)=0,D81,VLOOKUP($A$2,Motorenmatrix,13,FALSE))</f>
        <v>8000</v>
      </c>
      <c r="E82" s="586">
        <f ca="1">IF(D82-D81=0,E81,(C82-C81)/(D82-D81))</f>
        <v>-2.4444444444444465E-5</v>
      </c>
      <c r="F82" s="586">
        <f t="shared" ca="1" si="14"/>
        <v>0.7</v>
      </c>
      <c r="I82" s="374"/>
      <c r="N82" s="648" t="s">
        <v>1813</v>
      </c>
      <c r="U82" s="699"/>
      <c r="V82" s="700" t="s">
        <v>1814</v>
      </c>
      <c r="W82" s="699"/>
      <c r="X82" s="699"/>
      <c r="Y82" s="699"/>
      <c r="Z82" s="699"/>
      <c r="AA82" s="699"/>
      <c r="AB82" s="699"/>
      <c r="AC82" s="699"/>
      <c r="AD82" s="699"/>
      <c r="AE82" s="699"/>
      <c r="AF82" s="700" t="s">
        <v>1815</v>
      </c>
      <c r="AG82" s="699"/>
      <c r="AH82" s="699"/>
      <c r="AI82" s="699"/>
      <c r="AJ82" s="699"/>
      <c r="AK82" s="699"/>
      <c r="AL82" s="699"/>
      <c r="AM82" s="699"/>
      <c r="AN82" s="699"/>
      <c r="AO82" s="700" t="s">
        <v>1816</v>
      </c>
      <c r="AP82" s="699"/>
      <c r="AQ82" s="699"/>
      <c r="AR82" s="699"/>
      <c r="AS82" s="699"/>
      <c r="AT82" s="699"/>
      <c r="AU82" s="699"/>
      <c r="AV82" s="699"/>
      <c r="AW82" s="699"/>
      <c r="AX82" s="700" t="s">
        <v>1814</v>
      </c>
      <c r="AY82" s="699"/>
      <c r="AZ82" s="699"/>
      <c r="BA82" s="699"/>
      <c r="BB82" s="699"/>
      <c r="BC82" s="699"/>
      <c r="BD82" s="700" t="s">
        <v>1815</v>
      </c>
      <c r="BE82" s="699"/>
      <c r="BF82" s="699"/>
      <c r="BG82" s="699"/>
      <c r="BH82" s="699"/>
      <c r="BI82" s="699"/>
      <c r="BJ82" s="699"/>
      <c r="BK82" s="699"/>
      <c r="BL82" s="699"/>
      <c r="BM82" s="699"/>
      <c r="BN82" s="699"/>
      <c r="BO82" s="699"/>
      <c r="BP82" s="699"/>
      <c r="BQ82" s="699"/>
      <c r="BR82" s="699"/>
      <c r="BS82" s="699"/>
      <c r="BT82" s="699"/>
      <c r="BU82" s="699"/>
      <c r="BV82" s="699"/>
      <c r="BW82" s="699"/>
      <c r="BX82" s="699"/>
      <c r="BY82" s="699"/>
      <c r="BZ82" s="699"/>
      <c r="CA82" s="699"/>
      <c r="CB82" s="699"/>
    </row>
    <row r="83" spans="1:80">
      <c r="A83" s="586">
        <f ca="1">IF(D83&gt;$B$71,A82,C83)</f>
        <v>0.7</v>
      </c>
      <c r="B83" s="586">
        <f ca="1">IF(D83&gt;$B$71,B82,D83)</f>
        <v>8000</v>
      </c>
      <c r="C83" s="586">
        <f ca="1">IF(VLOOKUP($A$2,Motorenmatrix,14,FALSE)=0,C82,VLOOKUP($A$2,Motorenmatrix,14,FALSE))</f>
        <v>0.7</v>
      </c>
      <c r="D83" s="586">
        <f ca="1">IF(VLOOKUP($A$2,Motorenmatrix,15,FALSE)=0,D82,VLOOKUP($A$2,Motorenmatrix,15,FALSE))</f>
        <v>8000</v>
      </c>
      <c r="E83" s="586">
        <f ca="1">IF(D83-D82=0,E82,(C83-C82)/(D83-D82))</f>
        <v>-2.4444444444444465E-5</v>
      </c>
      <c r="F83" s="586">
        <f t="shared" ca="1" si="14"/>
        <v>0.7</v>
      </c>
      <c r="I83" s="374"/>
      <c r="Q83" s="649" t="s">
        <v>1817</v>
      </c>
      <c r="R83" s="647" t="s">
        <v>1818</v>
      </c>
      <c r="S83" s="650" t="s">
        <v>1819</v>
      </c>
      <c r="T83" s="647" t="s">
        <v>1820</v>
      </c>
      <c r="U83" s="699"/>
      <c r="V83" s="700"/>
      <c r="W83" s="700" t="s">
        <v>158</v>
      </c>
      <c r="X83" s="700" t="s">
        <v>1821</v>
      </c>
      <c r="Y83" s="701" t="s">
        <v>1822</v>
      </c>
      <c r="Z83" s="701" t="s">
        <v>1822</v>
      </c>
      <c r="AA83" s="701" t="s">
        <v>1850</v>
      </c>
      <c r="AB83" s="701" t="s">
        <v>1864</v>
      </c>
      <c r="AC83" s="701"/>
      <c r="AD83" s="702"/>
      <c r="AE83" s="699"/>
      <c r="AF83" s="700"/>
      <c r="AG83" s="700" t="s">
        <v>158</v>
      </c>
      <c r="AH83" s="700" t="s">
        <v>1821</v>
      </c>
      <c r="AI83" s="701" t="s">
        <v>1822</v>
      </c>
      <c r="AJ83" s="701" t="s">
        <v>1822</v>
      </c>
      <c r="AK83" s="701" t="s">
        <v>1850</v>
      </c>
      <c r="AL83" s="701" t="s">
        <v>1864</v>
      </c>
      <c r="AM83" s="702"/>
      <c r="AN83" s="699"/>
      <c r="AO83" s="700"/>
      <c r="AP83" s="700" t="s">
        <v>158</v>
      </c>
      <c r="AQ83" s="700" t="s">
        <v>1821</v>
      </c>
      <c r="AR83" s="701" t="s">
        <v>1822</v>
      </c>
      <c r="AS83" s="701" t="s">
        <v>1822</v>
      </c>
      <c r="AT83" s="701" t="s">
        <v>1850</v>
      </c>
      <c r="AU83" s="701" t="s">
        <v>1864</v>
      </c>
      <c r="AV83" s="701"/>
      <c r="AW83" s="699"/>
      <c r="AX83" s="699"/>
      <c r="AY83" s="699"/>
      <c r="AZ83" s="699"/>
      <c r="BA83" s="699"/>
      <c r="BB83" s="699"/>
      <c r="BC83" s="699"/>
      <c r="BD83" s="699"/>
      <c r="BE83" s="699"/>
      <c r="BF83" s="699"/>
      <c r="BG83" s="699"/>
      <c r="BH83" s="699"/>
      <c r="BI83" s="699"/>
      <c r="BJ83" s="700" t="s">
        <v>1816</v>
      </c>
      <c r="BK83" s="699"/>
      <c r="BL83" s="699"/>
      <c r="BM83" s="699"/>
      <c r="BN83" s="699"/>
      <c r="BO83" s="699"/>
      <c r="BP83" s="699"/>
      <c r="BQ83" s="699"/>
      <c r="BR83" s="699"/>
      <c r="BS83" s="699"/>
      <c r="BT83" s="699"/>
      <c r="BU83" s="699"/>
      <c r="BV83" s="699"/>
      <c r="BW83" s="699"/>
      <c r="BX83" s="699"/>
      <c r="BY83" s="699"/>
      <c r="BZ83" s="699"/>
      <c r="CA83" s="699"/>
      <c r="CB83" s="699"/>
    </row>
    <row r="84" spans="1:80">
      <c r="A84" s="586">
        <f ca="1">A83+(B84-B83)*E83</f>
        <v>0.7</v>
      </c>
      <c r="B84" s="586">
        <f ca="1">B73</f>
        <v>8000</v>
      </c>
      <c r="C84" s="586">
        <f ca="1">A83+(B84-B83)*E83</f>
        <v>0.7</v>
      </c>
      <c r="F84" s="586">
        <f t="shared" ca="1" si="14"/>
        <v>0.7</v>
      </c>
      <c r="I84" s="651"/>
      <c r="J84" s="647"/>
      <c r="K84" s="647"/>
      <c r="O84" s="652" t="s">
        <v>103</v>
      </c>
      <c r="P84" s="647" t="s">
        <v>0</v>
      </c>
      <c r="Q84" s="647" t="s">
        <v>458</v>
      </c>
      <c r="R84" s="647" t="s">
        <v>57</v>
      </c>
      <c r="U84" s="699"/>
      <c r="V84" s="700"/>
      <c r="W84" s="700" t="s">
        <v>57</v>
      </c>
      <c r="X84" s="700" t="s">
        <v>1823</v>
      </c>
      <c r="Y84" s="701" t="s">
        <v>1849</v>
      </c>
      <c r="Z84" s="701" t="s">
        <v>1848</v>
      </c>
      <c r="AA84" s="701" t="s">
        <v>1851</v>
      </c>
      <c r="AB84" s="701"/>
      <c r="AC84" s="701"/>
      <c r="AD84" s="702"/>
      <c r="AE84" s="699"/>
      <c r="AF84" s="700"/>
      <c r="AG84" s="700" t="s">
        <v>57</v>
      </c>
      <c r="AH84" s="700" t="s">
        <v>1823</v>
      </c>
      <c r="AI84" s="701" t="s">
        <v>1849</v>
      </c>
      <c r="AJ84" s="701" t="s">
        <v>1848</v>
      </c>
      <c r="AK84" s="701" t="s">
        <v>1851</v>
      </c>
      <c r="AL84" s="701"/>
      <c r="AM84" s="702"/>
      <c r="AN84" s="699"/>
      <c r="AO84" s="700"/>
      <c r="AP84" s="700" t="s">
        <v>57</v>
      </c>
      <c r="AQ84" s="700" t="s">
        <v>1823</v>
      </c>
      <c r="AR84" s="701" t="s">
        <v>1849</v>
      </c>
      <c r="AS84" s="701" t="s">
        <v>1848</v>
      </c>
      <c r="AT84" s="701" t="s">
        <v>1851</v>
      </c>
      <c r="AU84" s="699"/>
      <c r="AV84" s="699"/>
      <c r="AW84" s="699"/>
      <c r="AX84" s="700" t="s">
        <v>1865</v>
      </c>
      <c r="AY84" s="700" t="s">
        <v>1850</v>
      </c>
      <c r="AZ84" s="700"/>
      <c r="BA84" s="700" t="s">
        <v>1866</v>
      </c>
      <c r="BB84" s="700" t="s">
        <v>1867</v>
      </c>
      <c r="BC84" s="699"/>
      <c r="BD84" s="700" t="s">
        <v>1865</v>
      </c>
      <c r="BE84" s="700" t="s">
        <v>1850</v>
      </c>
      <c r="BF84" s="700"/>
      <c r="BG84" s="700" t="s">
        <v>1866</v>
      </c>
      <c r="BH84" s="700" t="s">
        <v>1867</v>
      </c>
      <c r="BI84" s="699"/>
      <c r="BJ84" s="700" t="s">
        <v>1865</v>
      </c>
      <c r="BK84" s="700" t="s">
        <v>1850</v>
      </c>
      <c r="BL84" s="700"/>
      <c r="BM84" s="700" t="s">
        <v>1866</v>
      </c>
      <c r="BN84" s="700" t="s">
        <v>1867</v>
      </c>
      <c r="BO84" s="699"/>
      <c r="BP84" s="699"/>
      <c r="BQ84" s="699"/>
      <c r="BR84" s="699"/>
      <c r="BS84" s="699"/>
      <c r="BT84" s="699"/>
      <c r="BU84" s="699"/>
      <c r="BV84" s="699"/>
      <c r="BW84" s="699"/>
      <c r="BX84" s="699"/>
      <c r="BY84" s="699"/>
      <c r="BZ84" s="699"/>
      <c r="CA84" s="699"/>
      <c r="CB84" s="699"/>
    </row>
    <row r="85" spans="1:80">
      <c r="I85" s="651"/>
      <c r="J85" s="647"/>
      <c r="K85" s="647"/>
      <c r="O85" s="652" t="s">
        <v>1824</v>
      </c>
      <c r="P85" s="647" t="s">
        <v>5</v>
      </c>
      <c r="Q85" s="652" t="s">
        <v>7</v>
      </c>
      <c r="R85" s="647" t="s">
        <v>7</v>
      </c>
      <c r="S85" s="647" t="s">
        <v>7</v>
      </c>
      <c r="T85" s="647" t="s">
        <v>7</v>
      </c>
      <c r="U85" s="700" t="s">
        <v>12</v>
      </c>
      <c r="V85" s="700" t="s">
        <v>1824</v>
      </c>
      <c r="W85" s="700" t="s">
        <v>1824</v>
      </c>
      <c r="X85" s="700" t="s">
        <v>1825</v>
      </c>
      <c r="Y85" s="701" t="s">
        <v>7</v>
      </c>
      <c r="Z85" s="701" t="s">
        <v>7</v>
      </c>
      <c r="AA85" s="701" t="s">
        <v>7</v>
      </c>
      <c r="AB85" s="701" t="s">
        <v>7</v>
      </c>
      <c r="AC85" s="701"/>
      <c r="AD85" s="702"/>
      <c r="AE85" s="700" t="s">
        <v>12</v>
      </c>
      <c r="AF85" s="700" t="s">
        <v>1824</v>
      </c>
      <c r="AG85" s="700" t="s">
        <v>1824</v>
      </c>
      <c r="AH85" s="700" t="s">
        <v>1825</v>
      </c>
      <c r="AI85" s="700" t="s">
        <v>7</v>
      </c>
      <c r="AJ85" s="700" t="s">
        <v>7</v>
      </c>
      <c r="AK85" s="700" t="s">
        <v>7</v>
      </c>
      <c r="AL85" s="700" t="s">
        <v>7</v>
      </c>
      <c r="AM85" s="703"/>
      <c r="AN85" s="700" t="s">
        <v>12</v>
      </c>
      <c r="AO85" s="700" t="s">
        <v>1824</v>
      </c>
      <c r="AP85" s="700" t="s">
        <v>1824</v>
      </c>
      <c r="AQ85" s="700" t="s">
        <v>1825</v>
      </c>
      <c r="AR85" s="701" t="s">
        <v>7</v>
      </c>
      <c r="AS85" s="701" t="s">
        <v>7</v>
      </c>
      <c r="AT85" s="701" t="s">
        <v>7</v>
      </c>
      <c r="AU85" s="701" t="s">
        <v>7</v>
      </c>
      <c r="AV85" s="701"/>
      <c r="AW85" s="699"/>
      <c r="AX85" s="700" t="s">
        <v>7</v>
      </c>
      <c r="AY85" s="700" t="s">
        <v>1868</v>
      </c>
      <c r="AZ85" s="700" t="s">
        <v>12</v>
      </c>
      <c r="BA85" s="700" t="s">
        <v>7</v>
      </c>
      <c r="BB85" s="700" t="s">
        <v>6</v>
      </c>
      <c r="BC85" s="699"/>
      <c r="BD85" s="700" t="s">
        <v>7</v>
      </c>
      <c r="BE85" s="700" t="s">
        <v>1868</v>
      </c>
      <c r="BF85" s="700" t="s">
        <v>12</v>
      </c>
      <c r="BG85" s="700" t="s">
        <v>7</v>
      </c>
      <c r="BH85" s="700" t="s">
        <v>6</v>
      </c>
      <c r="BI85" s="699"/>
      <c r="BJ85" s="700" t="s">
        <v>7</v>
      </c>
      <c r="BK85" s="700" t="s">
        <v>1868</v>
      </c>
      <c r="BL85" s="700" t="s">
        <v>12</v>
      </c>
      <c r="BM85" s="700" t="s">
        <v>7</v>
      </c>
      <c r="BN85" s="700" t="s">
        <v>6</v>
      </c>
      <c r="BO85" s="699"/>
      <c r="BP85" s="699"/>
      <c r="BQ85" s="699"/>
      <c r="BR85" s="699"/>
      <c r="BS85" s="699"/>
      <c r="BT85" s="699"/>
      <c r="BU85" s="699"/>
      <c r="BV85" s="699"/>
      <c r="BW85" s="699"/>
      <c r="BX85" s="699"/>
      <c r="BY85" s="699"/>
      <c r="BZ85" s="699"/>
      <c r="CA85" s="699"/>
      <c r="CB85" s="699"/>
    </row>
    <row r="86" spans="1:80">
      <c r="A86" s="586">
        <f ca="1">C78</f>
        <v>0.87</v>
      </c>
      <c r="B86" s="586">
        <v>0</v>
      </c>
      <c r="D86" s="586">
        <f ca="1">MIN(A86,$A$154)</f>
        <v>0.87</v>
      </c>
      <c r="N86" s="652" t="s">
        <v>19</v>
      </c>
      <c r="O86" s="620">
        <v>8000</v>
      </c>
      <c r="P86" s="620">
        <v>3</v>
      </c>
      <c r="Q86" s="620">
        <v>0.05</v>
      </c>
      <c r="R86" s="653">
        <f ca="1">$B$87/O86*Q86*2+Q86</f>
        <v>5.2000000000000005E-2</v>
      </c>
      <c r="S86" s="654">
        <f t="shared" ref="S86:S92" ca="1" si="15">$T$99*P86/2000/PI()/0.8+R86</f>
        <v>5.2000000000000005E-2</v>
      </c>
      <c r="T86" s="654">
        <f ca="1">S86/0.9</f>
        <v>5.7777777777777782E-2</v>
      </c>
      <c r="U86" s="699">
        <f>B86/60*$P$92</f>
        <v>0</v>
      </c>
      <c r="V86" s="699">
        <f>B86</f>
        <v>0</v>
      </c>
      <c r="W86" s="704">
        <f>V86/$O$92*$Q$92*2+$Q$92</f>
        <v>0.3</v>
      </c>
      <c r="X86" s="704">
        <f>$T$99*$P$92/2000/PI()/0.8+W86</f>
        <v>0.3</v>
      </c>
      <c r="Y86" s="704">
        <f ca="1">IF(X86/0.9&lt;=A86,X86/0.9,"")</f>
        <v>0.33333333333333331</v>
      </c>
      <c r="Z86" s="704">
        <f>IF(Data!$E$83=1,Data!$L$117+Data!$F$59+X86/Data!$L$116/Data!$E$59/Data!$L$115,Data!$E$90+Data!$F$59+X86/Data!$G$90/Data!$E$59/Data!$D$90)</f>
        <v>0.33333333333333331</v>
      </c>
      <c r="AA86" s="705">
        <f ca="1">A86</f>
        <v>0.87</v>
      </c>
      <c r="AB86" s="699">
        <f ca="1">IF(Data!$C$59=1,TRUNC(($A86*0.9-W86)/$P$92*2000*PI()*0.8,0),IF(Data!$C$59=2,TRUNC(($A86*0.8-(W86+0.1))/$P$92*2000*PI()*0.8,0),""))</f>
        <v>121</v>
      </c>
      <c r="AC86" s="699"/>
      <c r="AD86" s="706"/>
      <c r="AE86" s="699">
        <f>B86/60*$P$91</f>
        <v>0</v>
      </c>
      <c r="AF86" s="699">
        <f>AE86/$P$91*60</f>
        <v>0</v>
      </c>
      <c r="AG86" s="704">
        <f>AF86/$O$91*$Q$91*2+$Q$91</f>
        <v>0.2</v>
      </c>
      <c r="AH86" s="704">
        <f t="shared" ref="AH86:AH137" si="16">$T$99*$P$91/2000/PI()/0.8+AG86</f>
        <v>0.2</v>
      </c>
      <c r="AI86" s="705">
        <f ca="1">IF(AH86/0.9&lt;=A86,AH86/0.9,"")</f>
        <v>0.22222222222222224</v>
      </c>
      <c r="AJ86" s="704">
        <f>IF(Data!$E$83=1,Data!$L$117+Data!$F$59+AH86/Data!$L$116/Data!$E$59/Data!$L$115,Data!$E$90+Data!$F$59+AH86/Data!$G$90/Data!$E$59/Data!$D$90)</f>
        <v>0.22222222222222224</v>
      </c>
      <c r="AK86" s="699">
        <f ca="1">A86</f>
        <v>0.87</v>
      </c>
      <c r="AL86" s="699">
        <f ca="1">IF(Data!$C$59=1,TRUNC(($A86*0.9-AG86)/$P$91*2000*PI()*0.8,0),IF(Data!$C$59=2,TRUNC(($A86*0.8-(AG86+0.1))/$P$91*2000*PI()*0.8,0),""))</f>
        <v>293</v>
      </c>
      <c r="AM86" s="706"/>
      <c r="AN86" s="699">
        <f>B86/60*$P$90</f>
        <v>0</v>
      </c>
      <c r="AO86" s="699">
        <f>AN86/$P$90*60</f>
        <v>0</v>
      </c>
      <c r="AP86" s="704">
        <f>AO86/$O$90*$Q$90*2+$Q$90</f>
        <v>0.1</v>
      </c>
      <c r="AQ86" s="704">
        <f t="shared" ref="AQ86:AQ137" si="17">$T$99*$P$90/2000/PI()/0.8+AP86</f>
        <v>0.1</v>
      </c>
      <c r="AR86" s="704">
        <f ca="1">IF(AQ86/0.9&lt;=A86,AQ86/0.9,"")</f>
        <v>0.11111111111111112</v>
      </c>
      <c r="AS86" s="704">
        <f>IF(Data!$E$83=1,Data!$L$117+Data!$F$59+AQ86/Data!$L$116/Data!$E$59/Data!$L$115,Data!$E$90+Data!$F$59+AQ86/Data!$G$90/Data!$E$59/Data!$D$90)</f>
        <v>0.11111111111111112</v>
      </c>
      <c r="AT86" s="699">
        <f ca="1">A86</f>
        <v>0.87</v>
      </c>
      <c r="AU86" s="699">
        <f ca="1">IF(Data!$C$59=1,TRUNC(($A86*0.9-AP86)/$P$90*2000*PI()*0.8,0),IF(Data!$C$59=2,TRUNC(($A86*0.8-(AP86+0.1))/$P$90*2000*PI()*0.8,0),""))</f>
        <v>686</v>
      </c>
      <c r="AV86" s="699"/>
      <c r="AW86" s="699"/>
      <c r="AX86" s="704">
        <f ca="1">$A20</f>
        <v>2.7600000000000002</v>
      </c>
      <c r="AY86" s="699">
        <f>$B20</f>
        <v>0</v>
      </c>
      <c r="AZ86" s="699">
        <f>AY86/60*$P$92</f>
        <v>0</v>
      </c>
      <c r="BA86" s="699">
        <f>AY86/$O$92*$Q$92*2+$Q$92</f>
        <v>0.3</v>
      </c>
      <c r="BB86" s="699">
        <f ca="1">IF(Data!$C$59=1,TRUNC(($A20*0.9-BA86)/$P$92*2000*PI()*0.8,0),IF(Data!$C$59=2,TRUNC(($A20*0.8-(BA86+0.1))/$P$92*2000*PI()*0.8,0),""))</f>
        <v>548</v>
      </c>
      <c r="BC86" s="699"/>
      <c r="BD86" s="704">
        <f ca="1">$A20</f>
        <v>2.7600000000000002</v>
      </c>
      <c r="BE86" s="699">
        <f>$B20</f>
        <v>0</v>
      </c>
      <c r="BF86" s="699">
        <f>BE86/60*$P$91</f>
        <v>0</v>
      </c>
      <c r="BG86" s="699">
        <f>BE86/$O$91*$Q$91*2+$Q$91</f>
        <v>0.2</v>
      </c>
      <c r="BH86" s="699">
        <f ca="1">IF(Data!$C$59=1,TRUNC(($A20*0.9-BG86)/$P$91*2000*PI()*0.8,0),IF(Data!$C$59=2,TRUNC(($A20*0.8-(BG86+0.1))/$P$91*2000*PI()*0.8,0),""))</f>
        <v>1148</v>
      </c>
      <c r="BI86" s="699"/>
      <c r="BJ86" s="704">
        <f ca="1">$A20</f>
        <v>2.7600000000000002</v>
      </c>
      <c r="BK86" s="699">
        <f>$B20</f>
        <v>0</v>
      </c>
      <c r="BL86" s="699">
        <f>BK86/60*$P$90</f>
        <v>0</v>
      </c>
      <c r="BM86" s="699">
        <f>BK86/$O$90*$Q$90*2+$Q$90</f>
        <v>0.1</v>
      </c>
      <c r="BN86" s="699">
        <f ca="1">IF(Data!$C$59=1,TRUNC(($A20*0.9-BM86)/$P$90*2000*PI()*0.8,0),IF(Data!$C$59=2,TRUNC(($A20*0.8-(BM86+0.1))/$P$90*2000*PI()*0.8,0),""))</f>
        <v>2396</v>
      </c>
      <c r="BO86" s="699"/>
      <c r="BP86" s="699"/>
      <c r="BQ86" s="699"/>
      <c r="BR86" s="699"/>
      <c r="BS86" s="699"/>
      <c r="BT86" s="699"/>
      <c r="BU86" s="699"/>
      <c r="BV86" s="699"/>
      <c r="BW86" s="699"/>
      <c r="BX86" s="699"/>
      <c r="BY86" s="699"/>
      <c r="BZ86" s="699"/>
      <c r="CA86" s="699"/>
      <c r="CB86" s="699"/>
    </row>
    <row r="87" spans="1:80">
      <c r="A87" s="586">
        <f ca="1">A86+(B87-B86)*C87</f>
        <v>0.86680000000000001</v>
      </c>
      <c r="B87" s="586">
        <f ca="1">0.02*$B$84</f>
        <v>160</v>
      </c>
      <c r="C87" s="586">
        <f ca="1">IF(B87&lt;$B$79,$E$79,IF(B87&lt;$B$80,$E$80,IF(B87&lt;$B$81,$E$81,IF(B87&lt;$B$82,$E$82,$E$83 ) ) ))</f>
        <v>-2.0000000000000019E-5</v>
      </c>
      <c r="D87" s="586">
        <f t="shared" ref="D87:D136" ca="1" si="18">MIN(A87,$A$154)</f>
        <v>0.86680000000000001</v>
      </c>
      <c r="N87" s="652" t="s">
        <v>20</v>
      </c>
      <c r="O87" s="620">
        <v>8000</v>
      </c>
      <c r="P87" s="620">
        <v>10</v>
      </c>
      <c r="Q87" s="620">
        <v>0.15</v>
      </c>
      <c r="R87" s="653">
        <f t="shared" ref="R87:R92" ca="1" si="19">$B$87/O87*Q87*2+Q87</f>
        <v>0.156</v>
      </c>
      <c r="S87" s="654">
        <f t="shared" ca="1" si="15"/>
        <v>0.156</v>
      </c>
      <c r="T87" s="654">
        <f t="shared" ref="T87:T92" ca="1" si="20">S87/0.9</f>
        <v>0.17333333333333334</v>
      </c>
      <c r="U87" s="707">
        <f t="shared" ref="U87:U136" ca="1" si="21">B87/60*$P$92</f>
        <v>53.333333333333329</v>
      </c>
      <c r="V87" s="707">
        <f t="shared" ref="V87:V136" ca="1" si="22">B87</f>
        <v>160</v>
      </c>
      <c r="W87" s="704">
        <f t="shared" ref="W87:W136" ca="1" si="23">V87/$O$92*$Q$92*2+$Q$92</f>
        <v>0.31919999999999998</v>
      </c>
      <c r="X87" s="704">
        <f t="shared" ref="X87:X136" ca="1" si="24">$T$99*$P$92/2000/PI()/0.8+W87</f>
        <v>0.31919999999999998</v>
      </c>
      <c r="Y87" s="704">
        <f t="shared" ref="Y87:Y136" ca="1" si="25">IF(X87/0.9&lt;=A87,X87/0.9,"")</f>
        <v>0.35466666666666663</v>
      </c>
      <c r="Z87" s="704">
        <f ca="1">IF(Data!$E$83=1,Data!$L$117+Data!$F$59+X87/Data!$L$116/Data!$E$59/Data!$L$115,Data!$E$90+Data!$F$59+X87/Data!$G$90/Data!$E$59/Data!$D$90)</f>
        <v>0.35466666666666663</v>
      </c>
      <c r="AA87" s="705">
        <f t="shared" ref="AA87:AA136" ca="1" si="26">A87</f>
        <v>0.86680000000000001</v>
      </c>
      <c r="AB87" s="699">
        <f ca="1">IF(Data!$C$59=1,TRUNC(($A87*0.9-W87)/$P$92*2000*PI()*0.8,0),IF(Data!$C$59=2,TRUNC(($A87*0.8-(W87+0.1))/$P$92*2000*PI()*0.8,0),""))</f>
        <v>115</v>
      </c>
      <c r="AC87" s="699"/>
      <c r="AD87" s="706"/>
      <c r="AE87" s="707">
        <f t="shared" ref="AE87:AE136" ca="1" si="27">B87/60*$P$91</f>
        <v>26.666666666666664</v>
      </c>
      <c r="AF87" s="707">
        <f t="shared" ref="AF87:AF137" ca="1" si="28">AE87/$P$91*60</f>
        <v>160</v>
      </c>
      <c r="AG87" s="704">
        <f t="shared" ref="AG87:AG137" ca="1" si="29">AF87/$O$91*$Q$91*2+$Q$91</f>
        <v>0.21280000000000002</v>
      </c>
      <c r="AH87" s="704">
        <f t="shared" ca="1" si="16"/>
        <v>0.21280000000000002</v>
      </c>
      <c r="AI87" s="705">
        <f t="shared" ref="AI87:AI136" ca="1" si="30">IF(AH87/0.9&lt;=A87,AH87/0.9,"")</f>
        <v>0.23644444444444446</v>
      </c>
      <c r="AJ87" s="704">
        <f ca="1">IF(Data!$E$83=1,Data!$L$117+Data!$F$59+AH87/Data!$L$116/Data!$E$59/Data!$L$115,Data!$E$90+Data!$F$59+AH87/Data!$G$90/Data!$E$59/Data!$D$90)</f>
        <v>0.23644444444444446</v>
      </c>
      <c r="AK87" s="704">
        <f t="shared" ref="AK87:AK136" ca="1" si="31">A87</f>
        <v>0.86680000000000001</v>
      </c>
      <c r="AL87" s="699">
        <f ca="1">IF(Data!$C$59=1,TRUNC(($A87*0.9-AG87)/$P$91*2000*PI()*0.8,0),IF(Data!$C$59=2,TRUNC(($A87*0.8-(AG87+0.1))/$P$91*2000*PI()*0.8,0),""))</f>
        <v>285</v>
      </c>
      <c r="AM87" s="706"/>
      <c r="AN87" s="707">
        <f t="shared" ref="AN87:AN136" ca="1" si="32">B87/60*$P$90</f>
        <v>13.333333333333332</v>
      </c>
      <c r="AO87" s="707">
        <f t="shared" ref="AO87:AO137" ca="1" si="33">AN87/$P$90*60</f>
        <v>160</v>
      </c>
      <c r="AP87" s="704">
        <f t="shared" ref="AP87:AP137" ca="1" si="34">AO87/$O$90*$Q$90*2+$Q$90</f>
        <v>0.10640000000000001</v>
      </c>
      <c r="AQ87" s="704">
        <f t="shared" ca="1" si="17"/>
        <v>0.10640000000000001</v>
      </c>
      <c r="AR87" s="704">
        <f t="shared" ref="AR87:AR136" ca="1" si="35">IF(AQ87/0.9&lt;=A87,AQ87/0.9,"")</f>
        <v>0.11822222222222223</v>
      </c>
      <c r="AS87" s="704">
        <f ca="1">IF(Data!$E$83=1,Data!$L$117+Data!$F$59+AQ87/Data!$L$116/Data!$E$59/Data!$L$115,Data!$E$90+Data!$F$59+AQ87/Data!$G$90/Data!$E$59/Data!$D$90)</f>
        <v>0.11822222222222223</v>
      </c>
      <c r="AT87" s="704">
        <f t="shared" ref="AT87:AT136" ca="1" si="36">A87</f>
        <v>0.86680000000000001</v>
      </c>
      <c r="AU87" s="699">
        <f ca="1">IF(Data!$C$59=1,TRUNC(($A87*0.9-AP87)/$P$90*2000*PI()*0.8,0),IF(Data!$C$59=2,TRUNC(($A87*0.8-(AP87+0.1))/$P$90*2000*PI()*0.8,0),""))</f>
        <v>677</v>
      </c>
      <c r="AV87" s="699"/>
      <c r="AW87" s="699"/>
      <c r="AX87" s="704">
        <f t="shared" ref="AX87:AX137" ca="1" si="37">$A21</f>
        <v>2.7600000000000002</v>
      </c>
      <c r="AY87" s="707">
        <f t="shared" ref="AY87:AY137" ca="1" si="38">$B21</f>
        <v>5148.3999999999996</v>
      </c>
      <c r="AZ87" s="707">
        <f t="shared" ref="AZ87:AZ137" ca="1" si="39">AY87/60*$P$92</f>
        <v>1716.1333333333332</v>
      </c>
      <c r="BA87" s="704">
        <f t="shared" ref="BA87:BA137" ca="1" si="40">AY87/$O$92*$Q$92*2+$Q$92</f>
        <v>0.91780799999999996</v>
      </c>
      <c r="BB87" s="699">
        <f ca="1">IF(Data!$C$59=1,TRUNC(($A21*0.9-BA87)/$P$92*2000*PI()*0.8,0),IF(Data!$C$59=2,TRUNC(($A21*0.8-(BA87+0.1))/$P$92*2000*PI()*0.8,0),""))</f>
        <v>393</v>
      </c>
      <c r="BC87" s="699"/>
      <c r="BD87" s="704">
        <f t="shared" ref="BD87:BD137" ca="1" si="41">$A21</f>
        <v>2.7600000000000002</v>
      </c>
      <c r="BE87" s="707">
        <f t="shared" ref="BE87:BE137" ca="1" si="42">$B21</f>
        <v>5148.3999999999996</v>
      </c>
      <c r="BF87" s="707">
        <f ca="1">BE87/60*$P$91</f>
        <v>858.06666666666661</v>
      </c>
      <c r="BG87" s="699">
        <f t="shared" ref="BG87:BG137" ca="1" si="43">BE87/$O$91*$Q$91*2+$Q$91</f>
        <v>0.61187199999999997</v>
      </c>
      <c r="BH87" s="699">
        <f ca="1">IF(Data!$C$59=1,TRUNC(($A21*0.9-BG87)/$P$91*2000*PI()*0.8,0),IF(Data!$C$59=2,TRUNC(($A21*0.8-(BG87+0.1))/$P$91*2000*PI()*0.8,0),""))</f>
        <v>941</v>
      </c>
      <c r="BI87" s="699"/>
      <c r="BJ87" s="704">
        <f t="shared" ref="BJ87:BJ137" ca="1" si="44">$A21</f>
        <v>2.7600000000000002</v>
      </c>
      <c r="BK87" s="707">
        <f t="shared" ref="BK87:BK137" ca="1" si="45">$B21</f>
        <v>5148.3999999999996</v>
      </c>
      <c r="BL87" s="707">
        <f t="shared" ref="BL87:BL137" ca="1" si="46">BK87/60*$P$90</f>
        <v>429.0333333333333</v>
      </c>
      <c r="BM87" s="699">
        <f t="shared" ref="BM87:BM137" ca="1" si="47">BK87/$O$90*$Q$90*2+$Q$90</f>
        <v>0.30593599999999999</v>
      </c>
      <c r="BN87" s="699">
        <f ca="1">IF(Data!$C$59=1,TRUNC(($A21*0.9-BM87)/$P$90*2000*PI()*0.8,0),IF(Data!$C$59=2,TRUNC(($A21*0.8-(BM87+0.1))/$P$90*2000*PI()*0.8,0),""))</f>
        <v>2189</v>
      </c>
      <c r="BO87" s="699"/>
      <c r="BP87" s="699"/>
      <c r="BQ87" s="699"/>
      <c r="BR87" s="699"/>
      <c r="BS87" s="699"/>
      <c r="BT87" s="699"/>
      <c r="BU87" s="699"/>
      <c r="BV87" s="699"/>
      <c r="BW87" s="699"/>
      <c r="BX87" s="699"/>
      <c r="BY87" s="699"/>
      <c r="BZ87" s="699"/>
      <c r="CA87" s="699"/>
      <c r="CB87" s="699"/>
    </row>
    <row r="88" spans="1:80">
      <c r="A88" s="586">
        <f t="shared" ref="A88:A135" ca="1" si="48">A87+(B88-B87)*C88</f>
        <v>0.86360000000000003</v>
      </c>
      <c r="B88" s="655">
        <f ca="1">0.04*$B$84</f>
        <v>320</v>
      </c>
      <c r="C88" s="586">
        <f t="shared" ref="C88:C105" ca="1" si="49">IF(B88&lt;$B$79,$E$79,IF(B88&lt;$B$80,$E$80,IF(B88&lt;$B$81,$E$81,IF(B88&lt;$B$82,$E$82,$E$83 ) ) ))</f>
        <v>-2.0000000000000019E-5</v>
      </c>
      <c r="D88" s="586">
        <f t="shared" ca="1" si="18"/>
        <v>0.86360000000000003</v>
      </c>
      <c r="N88" s="652" t="s">
        <v>21</v>
      </c>
      <c r="O88" s="620">
        <v>6000</v>
      </c>
      <c r="P88" s="620">
        <v>4</v>
      </c>
      <c r="Q88" s="620">
        <v>7.0000000000000007E-2</v>
      </c>
      <c r="R88" s="653">
        <f t="shared" ca="1" si="19"/>
        <v>7.3733333333333345E-2</v>
      </c>
      <c r="S88" s="654">
        <f t="shared" ca="1" si="15"/>
        <v>7.3733333333333345E-2</v>
      </c>
      <c r="T88" s="654">
        <f t="shared" ca="1" si="20"/>
        <v>8.1925925925925944E-2</v>
      </c>
      <c r="U88" s="707">
        <f t="shared" ca="1" si="21"/>
        <v>106.66666666666666</v>
      </c>
      <c r="V88" s="707">
        <f t="shared" ca="1" si="22"/>
        <v>320</v>
      </c>
      <c r="W88" s="704">
        <f t="shared" ca="1" si="23"/>
        <v>0.33839999999999998</v>
      </c>
      <c r="X88" s="704">
        <f t="shared" ca="1" si="24"/>
        <v>0.33839999999999998</v>
      </c>
      <c r="Y88" s="704">
        <f t="shared" ca="1" si="25"/>
        <v>0.37599999999999995</v>
      </c>
      <c r="Z88" s="704">
        <f ca="1">IF(Data!$E$83=1,Data!$L$117+Data!$F$59+X88/Data!$L$116/Data!$E$59/Data!$L$115,Data!$E$90+Data!$F$59+X88/Data!$G$90/Data!$E$59/Data!$D$90)</f>
        <v>0.37599999999999995</v>
      </c>
      <c r="AA88" s="705">
        <f t="shared" ca="1" si="26"/>
        <v>0.86360000000000003</v>
      </c>
      <c r="AB88" s="699">
        <f ca="1">IF(Data!$C$59=1,TRUNC(($A88*0.9-W88)/$P$92*2000*PI()*0.8,0),IF(Data!$C$59=2,TRUNC(($A88*0.8-(W88+0.1))/$P$92*2000*PI()*0.8,0),""))</f>
        <v>110</v>
      </c>
      <c r="AC88" s="699"/>
      <c r="AD88" s="706"/>
      <c r="AE88" s="707">
        <f t="shared" ca="1" si="27"/>
        <v>53.333333333333329</v>
      </c>
      <c r="AF88" s="707">
        <f t="shared" ca="1" si="28"/>
        <v>320</v>
      </c>
      <c r="AG88" s="704">
        <f t="shared" ca="1" si="29"/>
        <v>0.22560000000000002</v>
      </c>
      <c r="AH88" s="704">
        <f t="shared" ca="1" si="16"/>
        <v>0.22560000000000002</v>
      </c>
      <c r="AI88" s="705">
        <f t="shared" ca="1" si="30"/>
        <v>0.2506666666666667</v>
      </c>
      <c r="AJ88" s="704">
        <f ca="1">IF(Data!$E$83=1,Data!$L$117+Data!$F$59+AH88/Data!$L$116/Data!$E$59/Data!$L$115,Data!$E$90+Data!$F$59+AH88/Data!$G$90/Data!$E$59/Data!$D$90)</f>
        <v>0.2506666666666667</v>
      </c>
      <c r="AK88" s="704">
        <f t="shared" ca="1" si="31"/>
        <v>0.86360000000000003</v>
      </c>
      <c r="AL88" s="699">
        <f ca="1">IF(Data!$C$59=1,TRUNC(($A88*0.9-AG88)/$P$91*2000*PI()*0.8,0),IF(Data!$C$59=2,TRUNC(($A88*0.8-(AG88+0.1))/$P$91*2000*PI()*0.8,0),""))</f>
        <v>277</v>
      </c>
      <c r="AM88" s="706"/>
      <c r="AN88" s="707">
        <f t="shared" ca="1" si="32"/>
        <v>26.666666666666664</v>
      </c>
      <c r="AO88" s="707">
        <f t="shared" ca="1" si="33"/>
        <v>320</v>
      </c>
      <c r="AP88" s="704">
        <f t="shared" ca="1" si="34"/>
        <v>0.11280000000000001</v>
      </c>
      <c r="AQ88" s="704">
        <f t="shared" ca="1" si="17"/>
        <v>0.11280000000000001</v>
      </c>
      <c r="AR88" s="704">
        <f t="shared" ca="1" si="35"/>
        <v>0.12533333333333335</v>
      </c>
      <c r="AS88" s="704">
        <f ca="1">IF(Data!$E$83=1,Data!$L$117+Data!$F$59+AQ88/Data!$L$116/Data!$E$59/Data!$L$115,Data!$E$90+Data!$F$59+AQ88/Data!$G$90/Data!$E$59/Data!$D$90)</f>
        <v>0.12533333333333335</v>
      </c>
      <c r="AT88" s="704">
        <f t="shared" ca="1" si="36"/>
        <v>0.86360000000000003</v>
      </c>
      <c r="AU88" s="699">
        <f ca="1">IF(Data!$C$59=1,TRUNC(($A88*0.9-AP88)/$P$90*2000*PI()*0.8,0),IF(Data!$C$59=2,TRUNC(($A88*0.8-(AP88+0.1))/$P$90*2000*PI()*0.8,0),""))</f>
        <v>667</v>
      </c>
      <c r="AV88" s="699"/>
      <c r="AW88" s="699"/>
      <c r="AX88" s="704">
        <f t="shared" ca="1" si="37"/>
        <v>2.7194116923076921</v>
      </c>
      <c r="AY88" s="707">
        <f t="shared" ca="1" si="38"/>
        <v>5224.8</v>
      </c>
      <c r="AZ88" s="707">
        <f t="shared" ca="1" si="39"/>
        <v>1741.6</v>
      </c>
      <c r="BA88" s="704">
        <f t="shared" ca="1" si="40"/>
        <v>0.92697600000000002</v>
      </c>
      <c r="BB88" s="699">
        <f ca="1">IF(Data!$C$59=1,TRUNC(($A22*0.9-BA88)/$P$92*2000*PI()*0.8,0),IF(Data!$C$59=2,TRUNC(($A22*0.8-(BA88+0.1))/$P$92*2000*PI()*0.8,0),""))</f>
        <v>382</v>
      </c>
      <c r="BC88" s="699"/>
      <c r="BD88" s="704">
        <f t="shared" ca="1" si="41"/>
        <v>2.7194116923076921</v>
      </c>
      <c r="BE88" s="707">
        <f t="shared" ca="1" si="42"/>
        <v>5224.8</v>
      </c>
      <c r="BF88" s="707">
        <f t="shared" ref="BF88:BF137" ca="1" si="50">BE88/60*$P$91</f>
        <v>870.8</v>
      </c>
      <c r="BG88" s="699">
        <f t="shared" ca="1" si="43"/>
        <v>0.61798400000000009</v>
      </c>
      <c r="BH88" s="699">
        <f ca="1">IF(Data!$C$59=1,TRUNC(($A22*0.9-BG88)/$P$91*2000*PI()*0.8,0),IF(Data!$C$59=2,TRUNC(($A22*0.8-(BG88+0.1))/$P$91*2000*PI()*0.8,0),""))</f>
        <v>919</v>
      </c>
      <c r="BI88" s="699"/>
      <c r="BJ88" s="704">
        <f t="shared" ca="1" si="44"/>
        <v>2.7194116923076921</v>
      </c>
      <c r="BK88" s="707">
        <f t="shared" ca="1" si="45"/>
        <v>5224.8</v>
      </c>
      <c r="BL88" s="707">
        <f t="shared" ca="1" si="46"/>
        <v>435.4</v>
      </c>
      <c r="BM88" s="699">
        <f t="shared" ca="1" si="47"/>
        <v>0.30899200000000004</v>
      </c>
      <c r="BN88" s="699">
        <f ca="1">IF(Data!$C$59=1,TRUNC(($A22*0.9-BM88)/$P$90*2000*PI()*0.8,0),IF(Data!$C$59=2,TRUNC(($A22*0.8-(BM88+0.1))/$P$90*2000*PI()*0.8,0),""))</f>
        <v>2149</v>
      </c>
      <c r="BO88" s="699"/>
      <c r="BP88" s="699"/>
      <c r="BQ88" s="699"/>
      <c r="BR88" s="699"/>
      <c r="BS88" s="699"/>
      <c r="BT88" s="699"/>
      <c r="BU88" s="699"/>
      <c r="BV88" s="699"/>
      <c r="BW88" s="699"/>
      <c r="BX88" s="699"/>
      <c r="BY88" s="699"/>
      <c r="BZ88" s="699"/>
      <c r="CA88" s="699"/>
      <c r="CB88" s="699"/>
    </row>
    <row r="89" spans="1:80">
      <c r="A89" s="586">
        <f t="shared" ca="1" si="48"/>
        <v>0.86040000000000005</v>
      </c>
      <c r="B89" s="655">
        <f ca="1">0.06*$B$84</f>
        <v>480</v>
      </c>
      <c r="C89" s="586">
        <f t="shared" ca="1" si="49"/>
        <v>-2.0000000000000019E-5</v>
      </c>
      <c r="D89" s="586">
        <f t="shared" ca="1" si="18"/>
        <v>0.86040000000000005</v>
      </c>
      <c r="N89" s="652" t="s">
        <v>22</v>
      </c>
      <c r="O89" s="620">
        <v>6000</v>
      </c>
      <c r="P89" s="620">
        <v>10</v>
      </c>
      <c r="Q89" s="620">
        <v>0.18</v>
      </c>
      <c r="R89" s="653">
        <f t="shared" ca="1" si="19"/>
        <v>0.18959999999999999</v>
      </c>
      <c r="S89" s="654">
        <f t="shared" ca="1" si="15"/>
        <v>0.18959999999999999</v>
      </c>
      <c r="T89" s="654">
        <f t="shared" ca="1" si="20"/>
        <v>0.21066666666666664</v>
      </c>
      <c r="U89" s="707">
        <f t="shared" ca="1" si="21"/>
        <v>160</v>
      </c>
      <c r="V89" s="707">
        <f t="shared" ca="1" si="22"/>
        <v>480</v>
      </c>
      <c r="W89" s="704">
        <f t="shared" ca="1" si="23"/>
        <v>0.35759999999999997</v>
      </c>
      <c r="X89" s="704">
        <f t="shared" ca="1" si="24"/>
        <v>0.35759999999999997</v>
      </c>
      <c r="Y89" s="704">
        <f t="shared" ca="1" si="25"/>
        <v>0.39733333333333332</v>
      </c>
      <c r="Z89" s="704">
        <f ca="1">IF(Data!$E$83=1,Data!$L$117+Data!$F$59+X89/Data!$L$116/Data!$E$59/Data!$L$115,Data!$E$90+Data!$F$59+X89/Data!$G$90/Data!$E$59/Data!$D$90)</f>
        <v>0.39733333333333332</v>
      </c>
      <c r="AA89" s="705">
        <f t="shared" ca="1" si="26"/>
        <v>0.86040000000000005</v>
      </c>
      <c r="AB89" s="699">
        <f ca="1">IF(Data!$C$59=1,TRUNC(($A89*0.9-W89)/$P$92*2000*PI()*0.8,0),IF(Data!$C$59=2,TRUNC(($A89*0.8-(W89+0.1))/$P$92*2000*PI()*0.8,0),""))</f>
        <v>104</v>
      </c>
      <c r="AC89" s="699"/>
      <c r="AD89" s="706"/>
      <c r="AE89" s="707">
        <f t="shared" ca="1" si="27"/>
        <v>80</v>
      </c>
      <c r="AF89" s="707">
        <f t="shared" ca="1" si="28"/>
        <v>480</v>
      </c>
      <c r="AG89" s="704">
        <f t="shared" ca="1" si="29"/>
        <v>0.2384</v>
      </c>
      <c r="AH89" s="704">
        <f t="shared" ca="1" si="16"/>
        <v>0.2384</v>
      </c>
      <c r="AI89" s="705">
        <f t="shared" ca="1" si="30"/>
        <v>0.2648888888888889</v>
      </c>
      <c r="AJ89" s="704">
        <f ca="1">IF(Data!$E$83=1,Data!$L$117+Data!$F$59+AH89/Data!$L$116/Data!$E$59/Data!$L$115,Data!$E$90+Data!$F$59+AH89/Data!$G$90/Data!$E$59/Data!$D$90)</f>
        <v>0.2648888888888889</v>
      </c>
      <c r="AK89" s="704">
        <f t="shared" ca="1" si="31"/>
        <v>0.86040000000000005</v>
      </c>
      <c r="AL89" s="699">
        <f ca="1">IF(Data!$C$59=1,TRUNC(($A89*0.9-AG89)/$P$91*2000*PI()*0.8,0),IF(Data!$C$59=2,TRUNC(($A89*0.8-(AG89+0.1))/$P$91*2000*PI()*0.8,0),""))</f>
        <v>269</v>
      </c>
      <c r="AM89" s="706"/>
      <c r="AN89" s="707">
        <f t="shared" ca="1" si="32"/>
        <v>40</v>
      </c>
      <c r="AO89" s="707">
        <f t="shared" ca="1" si="33"/>
        <v>480</v>
      </c>
      <c r="AP89" s="704">
        <f t="shared" ca="1" si="34"/>
        <v>0.1192</v>
      </c>
      <c r="AQ89" s="704">
        <f t="shared" ca="1" si="17"/>
        <v>0.1192</v>
      </c>
      <c r="AR89" s="704">
        <f t="shared" ca="1" si="35"/>
        <v>0.13244444444444445</v>
      </c>
      <c r="AS89" s="704">
        <f ca="1">IF(Data!$E$83=1,Data!$L$117+Data!$F$59+AQ89/Data!$L$116/Data!$E$59/Data!$L$115,Data!$E$90+Data!$F$59+AQ89/Data!$G$90/Data!$E$59/Data!$D$90)</f>
        <v>0.13244444444444445</v>
      </c>
      <c r="AT89" s="704">
        <f t="shared" ca="1" si="36"/>
        <v>0.86040000000000005</v>
      </c>
      <c r="AU89" s="699">
        <f ca="1">IF(Data!$C$59=1,TRUNC(($A89*0.9-AP89)/$P$90*2000*PI()*0.8,0),IF(Data!$C$59=2,TRUNC(($A89*0.8-(AP89+0.1))/$P$90*2000*PI()*0.8,0),""))</f>
        <v>658</v>
      </c>
      <c r="AV89" s="699"/>
      <c r="AW89" s="699"/>
      <c r="AX89" s="704">
        <f t="shared" ca="1" si="37"/>
        <v>2.6782269890109891</v>
      </c>
      <c r="AY89" s="707">
        <f t="shared" ca="1" si="38"/>
        <v>5302.7</v>
      </c>
      <c r="AZ89" s="707">
        <f t="shared" ca="1" si="39"/>
        <v>1767.5666666666666</v>
      </c>
      <c r="BA89" s="704">
        <f t="shared" ca="1" si="40"/>
        <v>0.93632399999999993</v>
      </c>
      <c r="BB89" s="699">
        <f ca="1">IF(Data!$C$59=1,TRUNC(($A23*0.9-BA89)/$P$92*2000*PI()*0.8,0),IF(Data!$C$59=2,TRUNC(($A23*0.8-(BA89+0.1))/$P$92*2000*PI()*0.8,0),""))</f>
        <v>370</v>
      </c>
      <c r="BC89" s="699"/>
      <c r="BD89" s="704">
        <f t="shared" ca="1" si="41"/>
        <v>2.6782269890109891</v>
      </c>
      <c r="BE89" s="707">
        <f t="shared" ca="1" si="42"/>
        <v>5302.7</v>
      </c>
      <c r="BF89" s="707">
        <f t="shared" ca="1" si="50"/>
        <v>883.7833333333333</v>
      </c>
      <c r="BG89" s="699">
        <f t="shared" ca="1" si="43"/>
        <v>0.6242160000000001</v>
      </c>
      <c r="BH89" s="699">
        <f ca="1">IF(Data!$C$59=1,TRUNC(($A23*0.9-BG89)/$P$91*2000*PI()*0.8,0),IF(Data!$C$59=2,TRUNC(($A23*0.8-(BG89+0.1))/$P$91*2000*PI()*0.8,0),""))</f>
        <v>897</v>
      </c>
      <c r="BI89" s="699"/>
      <c r="BJ89" s="704">
        <f t="shared" ca="1" si="44"/>
        <v>2.6782269890109891</v>
      </c>
      <c r="BK89" s="707">
        <f t="shared" ca="1" si="45"/>
        <v>5302.7</v>
      </c>
      <c r="BL89" s="707">
        <f t="shared" ca="1" si="46"/>
        <v>441.89166666666665</v>
      </c>
      <c r="BM89" s="699">
        <f t="shared" ca="1" si="47"/>
        <v>0.31210800000000005</v>
      </c>
      <c r="BN89" s="699">
        <f ca="1">IF(Data!$C$59=1,TRUNC(($A23*0.9-BM89)/$P$90*2000*PI()*0.8,0),IF(Data!$C$59=2,TRUNC(($A23*0.8-(BM89+0.1))/$P$90*2000*PI()*0.8,0),""))</f>
        <v>2109</v>
      </c>
      <c r="BO89" s="699"/>
      <c r="BP89" s="699"/>
      <c r="BQ89" s="699"/>
      <c r="BR89" s="699"/>
      <c r="BS89" s="699"/>
      <c r="BT89" s="699"/>
      <c r="BU89" s="699"/>
      <c r="BV89" s="699"/>
      <c r="BW89" s="699"/>
      <c r="BX89" s="699"/>
      <c r="BY89" s="699"/>
      <c r="BZ89" s="699"/>
      <c r="CA89" s="699"/>
      <c r="CB89" s="699"/>
    </row>
    <row r="90" spans="1:80">
      <c r="A90" s="586">
        <f t="shared" ca="1" si="48"/>
        <v>0.85720000000000007</v>
      </c>
      <c r="B90" s="655">
        <f ca="1">0.08*$B$84</f>
        <v>640</v>
      </c>
      <c r="C90" s="586">
        <f t="shared" ca="1" si="49"/>
        <v>-2.0000000000000019E-5</v>
      </c>
      <c r="D90" s="586">
        <f t="shared" ca="1" si="18"/>
        <v>0.85720000000000007</v>
      </c>
      <c r="N90" s="652" t="s">
        <v>23</v>
      </c>
      <c r="O90" s="620">
        <v>5000</v>
      </c>
      <c r="P90" s="620">
        <v>5</v>
      </c>
      <c r="Q90" s="620">
        <v>0.1</v>
      </c>
      <c r="R90" s="653">
        <f t="shared" ca="1" si="19"/>
        <v>0.10640000000000001</v>
      </c>
      <c r="S90" s="654">
        <f t="shared" ca="1" si="15"/>
        <v>0.10640000000000001</v>
      </c>
      <c r="T90" s="654">
        <f t="shared" ca="1" si="20"/>
        <v>0.11822222222222223</v>
      </c>
      <c r="U90" s="707">
        <f t="shared" ca="1" si="21"/>
        <v>213.33333333333331</v>
      </c>
      <c r="V90" s="707">
        <f t="shared" ca="1" si="22"/>
        <v>640</v>
      </c>
      <c r="W90" s="704">
        <f t="shared" ca="1" si="23"/>
        <v>0.37679999999999997</v>
      </c>
      <c r="X90" s="704">
        <f t="shared" ca="1" si="24"/>
        <v>0.37679999999999997</v>
      </c>
      <c r="Y90" s="704">
        <f t="shared" ca="1" si="25"/>
        <v>0.41866666666666663</v>
      </c>
      <c r="Z90" s="704">
        <f ca="1">IF(Data!$E$83=1,Data!$L$117+Data!$F$59+X90/Data!$L$116/Data!$E$59/Data!$L$115,Data!$E$90+Data!$F$59+X90/Data!$G$90/Data!$E$59/Data!$D$90)</f>
        <v>0.41866666666666663</v>
      </c>
      <c r="AA90" s="705">
        <f t="shared" ca="1" si="26"/>
        <v>0.85720000000000007</v>
      </c>
      <c r="AB90" s="699">
        <f ca="1">IF(Data!$C$59=1,TRUNC(($A90*0.9-W90)/$P$92*2000*PI()*0.8,0),IF(Data!$C$59=2,TRUNC(($A90*0.8-(W90+0.1))/$P$92*2000*PI()*0.8,0),""))</f>
        <v>99</v>
      </c>
      <c r="AC90" s="699"/>
      <c r="AD90" s="706"/>
      <c r="AE90" s="707">
        <f t="shared" ca="1" si="27"/>
        <v>106.66666666666666</v>
      </c>
      <c r="AF90" s="707">
        <f t="shared" ca="1" si="28"/>
        <v>640</v>
      </c>
      <c r="AG90" s="704">
        <f t="shared" ca="1" si="29"/>
        <v>0.25120000000000003</v>
      </c>
      <c r="AH90" s="704">
        <f t="shared" ca="1" si="16"/>
        <v>0.25120000000000003</v>
      </c>
      <c r="AI90" s="705">
        <f t="shared" ca="1" si="30"/>
        <v>0.27911111111111114</v>
      </c>
      <c r="AJ90" s="704">
        <f ca="1">IF(Data!$E$83=1,Data!$L$117+Data!$F$59+AH90/Data!$L$116/Data!$E$59/Data!$L$115,Data!$E$90+Data!$F$59+AH90/Data!$G$90/Data!$E$59/Data!$D$90)</f>
        <v>0.27911111111111114</v>
      </c>
      <c r="AK90" s="704">
        <f t="shared" ca="1" si="31"/>
        <v>0.85720000000000007</v>
      </c>
      <c r="AL90" s="699">
        <f ca="1">IF(Data!$C$59=1,TRUNC(($A90*0.9-AG90)/$P$91*2000*PI()*0.8,0),IF(Data!$C$59=2,TRUNC(($A90*0.8-(AG90+0.1))/$P$91*2000*PI()*0.8,0),""))</f>
        <v>261</v>
      </c>
      <c r="AM90" s="706"/>
      <c r="AN90" s="707">
        <f t="shared" ca="1" si="32"/>
        <v>53.333333333333329</v>
      </c>
      <c r="AO90" s="707">
        <f t="shared" ca="1" si="33"/>
        <v>640</v>
      </c>
      <c r="AP90" s="704">
        <f t="shared" ca="1" si="34"/>
        <v>0.12560000000000002</v>
      </c>
      <c r="AQ90" s="704">
        <f t="shared" ca="1" si="17"/>
        <v>0.12560000000000002</v>
      </c>
      <c r="AR90" s="704">
        <f t="shared" ca="1" si="35"/>
        <v>0.13955555555555557</v>
      </c>
      <c r="AS90" s="704">
        <f ca="1">IF(Data!$E$83=1,Data!$L$117+Data!$F$59+AQ90/Data!$L$116/Data!$E$59/Data!$L$115,Data!$E$90+Data!$F$59+AQ90/Data!$G$90/Data!$E$59/Data!$D$90)</f>
        <v>0.13955555555555557</v>
      </c>
      <c r="AT90" s="704">
        <f t="shared" ca="1" si="36"/>
        <v>0.85720000000000007</v>
      </c>
      <c r="AU90" s="699">
        <f ca="1">IF(Data!$C$59=1,TRUNC(($A90*0.9-AP90)/$P$90*2000*PI()*0.8,0),IF(Data!$C$59=2,TRUNC(($A90*0.8-(AP90+0.1))/$P$90*2000*PI()*0.8,0),""))</f>
        <v>649</v>
      </c>
      <c r="AV90" s="699"/>
      <c r="AW90" s="699"/>
      <c r="AX90" s="704">
        <f t="shared" ca="1" si="37"/>
        <v>2.6364458901098904</v>
      </c>
      <c r="AY90" s="707">
        <f t="shared" ca="1" si="38"/>
        <v>5382.1</v>
      </c>
      <c r="AZ90" s="707">
        <f t="shared" ca="1" si="39"/>
        <v>1794.0333333333333</v>
      </c>
      <c r="BA90" s="704">
        <f t="shared" ca="1" si="40"/>
        <v>0.94585200000000014</v>
      </c>
      <c r="BB90" s="699">
        <f ca="1">IF(Data!$C$59=1,TRUNC(($A24*0.9-BA90)/$P$92*2000*PI()*0.8,0),IF(Data!$C$59=2,TRUNC(($A24*0.8-(BA90+0.1))/$P$92*2000*PI()*0.8,0),""))</f>
        <v>358</v>
      </c>
      <c r="BC90" s="699"/>
      <c r="BD90" s="704">
        <f t="shared" ca="1" si="41"/>
        <v>2.6364458901098904</v>
      </c>
      <c r="BE90" s="707">
        <f t="shared" ca="1" si="42"/>
        <v>5382.1</v>
      </c>
      <c r="BF90" s="707">
        <f t="shared" ca="1" si="50"/>
        <v>897.01666666666665</v>
      </c>
      <c r="BG90" s="699">
        <f t="shared" ca="1" si="43"/>
        <v>0.63056800000000002</v>
      </c>
      <c r="BH90" s="699">
        <f ca="1">IF(Data!$C$59=1,TRUNC(($A24*0.9-BG90)/$P$91*2000*PI()*0.8,0),IF(Data!$C$59=2,TRUNC(($A24*0.8-(BG90+0.1))/$P$91*2000*PI()*0.8,0),""))</f>
        <v>875</v>
      </c>
      <c r="BI90" s="699"/>
      <c r="BJ90" s="704">
        <f t="shared" ca="1" si="44"/>
        <v>2.6364458901098904</v>
      </c>
      <c r="BK90" s="707">
        <f t="shared" ca="1" si="45"/>
        <v>5382.1</v>
      </c>
      <c r="BL90" s="707">
        <f t="shared" ca="1" si="46"/>
        <v>448.50833333333333</v>
      </c>
      <c r="BM90" s="699">
        <f t="shared" ca="1" si="47"/>
        <v>0.31528400000000001</v>
      </c>
      <c r="BN90" s="699">
        <f ca="1">IF(Data!$C$59=1,TRUNC(($A24*0.9-BM90)/$P$90*2000*PI()*0.8,0),IF(Data!$C$59=2,TRUNC(($A24*0.8-(BM90+0.1))/$P$90*2000*PI()*0.8,0),""))</f>
        <v>2068</v>
      </c>
      <c r="BO90" s="699"/>
      <c r="BP90" s="699"/>
      <c r="BQ90" s="699"/>
      <c r="BR90" s="699"/>
      <c r="BS90" s="699"/>
      <c r="BT90" s="699"/>
      <c r="BU90" s="699"/>
      <c r="BV90" s="699"/>
      <c r="BW90" s="699"/>
      <c r="BX90" s="699"/>
      <c r="BY90" s="699"/>
      <c r="BZ90" s="699"/>
      <c r="CA90" s="699"/>
      <c r="CB90" s="699"/>
    </row>
    <row r="91" spans="1:80">
      <c r="A91" s="586">
        <f t="shared" ca="1" si="48"/>
        <v>0.85400000000000009</v>
      </c>
      <c r="B91" s="655">
        <f ca="1">0.1*$B$84</f>
        <v>800</v>
      </c>
      <c r="C91" s="586">
        <f t="shared" ca="1" si="49"/>
        <v>-2.0000000000000019E-5</v>
      </c>
      <c r="D91" s="586">
        <f t="shared" ca="1" si="18"/>
        <v>0.85400000000000009</v>
      </c>
      <c r="N91" s="652" t="s">
        <v>24</v>
      </c>
      <c r="O91" s="620">
        <v>5000</v>
      </c>
      <c r="P91" s="620">
        <v>10</v>
      </c>
      <c r="Q91" s="620">
        <v>0.2</v>
      </c>
      <c r="R91" s="653">
        <f t="shared" ca="1" si="19"/>
        <v>0.21280000000000002</v>
      </c>
      <c r="S91" s="654">
        <f t="shared" ca="1" si="15"/>
        <v>0.21280000000000002</v>
      </c>
      <c r="T91" s="654">
        <f t="shared" ca="1" si="20"/>
        <v>0.23644444444444446</v>
      </c>
      <c r="U91" s="707">
        <f t="shared" ca="1" si="21"/>
        <v>266.66666666666669</v>
      </c>
      <c r="V91" s="707">
        <f t="shared" ca="1" si="22"/>
        <v>800</v>
      </c>
      <c r="W91" s="704">
        <f t="shared" ca="1" si="23"/>
        <v>0.39600000000000002</v>
      </c>
      <c r="X91" s="704">
        <f t="shared" ca="1" si="24"/>
        <v>0.39600000000000002</v>
      </c>
      <c r="Y91" s="704">
        <f t="shared" ca="1" si="25"/>
        <v>0.44</v>
      </c>
      <c r="Z91" s="704">
        <f ca="1">IF(Data!$E$83=1,Data!$L$117+Data!$F$59+X91/Data!$L$116/Data!$E$59/Data!$L$115,Data!$E$90+Data!$F$59+X91/Data!$G$90/Data!$E$59/Data!$D$90)</f>
        <v>0.44</v>
      </c>
      <c r="AA91" s="705">
        <f t="shared" ca="1" si="26"/>
        <v>0.85400000000000009</v>
      </c>
      <c r="AB91" s="699">
        <f ca="1">IF(Data!$C$59=1,TRUNC(($A91*0.9-W91)/$P$92*2000*PI()*0.8,0),IF(Data!$C$59=2,TRUNC(($A91*0.8-(W91+0.1))/$P$92*2000*PI()*0.8,0),""))</f>
        <v>93</v>
      </c>
      <c r="AC91" s="699"/>
      <c r="AD91" s="706"/>
      <c r="AE91" s="707">
        <f t="shared" ca="1" si="27"/>
        <v>133.33333333333334</v>
      </c>
      <c r="AF91" s="707">
        <f t="shared" ca="1" si="28"/>
        <v>800</v>
      </c>
      <c r="AG91" s="704">
        <f t="shared" ca="1" si="29"/>
        <v>0.26400000000000001</v>
      </c>
      <c r="AH91" s="704">
        <f t="shared" ca="1" si="16"/>
        <v>0.26400000000000001</v>
      </c>
      <c r="AI91" s="705">
        <f t="shared" ca="1" si="30"/>
        <v>0.29333333333333333</v>
      </c>
      <c r="AJ91" s="704">
        <f ca="1">IF(Data!$E$83=1,Data!$L$117+Data!$F$59+AH91/Data!$L$116/Data!$E$59/Data!$L$115,Data!$E$90+Data!$F$59+AH91/Data!$G$90/Data!$E$59/Data!$D$90)</f>
        <v>0.29333333333333333</v>
      </c>
      <c r="AK91" s="704">
        <f t="shared" ca="1" si="31"/>
        <v>0.85400000000000009</v>
      </c>
      <c r="AL91" s="699">
        <f ca="1">IF(Data!$C$59=1,TRUNC(($A91*0.9-AG91)/$P$91*2000*PI()*0.8,0),IF(Data!$C$59=2,TRUNC(($A91*0.8-(AG91+0.1))/$P$91*2000*PI()*0.8,0),""))</f>
        <v>253</v>
      </c>
      <c r="AM91" s="706"/>
      <c r="AN91" s="707">
        <f t="shared" ca="1" si="32"/>
        <v>66.666666666666671</v>
      </c>
      <c r="AO91" s="707">
        <f t="shared" ca="1" si="33"/>
        <v>800</v>
      </c>
      <c r="AP91" s="704">
        <f t="shared" ca="1" si="34"/>
        <v>0.13200000000000001</v>
      </c>
      <c r="AQ91" s="704">
        <f t="shared" ca="1" si="17"/>
        <v>0.13200000000000001</v>
      </c>
      <c r="AR91" s="704">
        <f t="shared" ca="1" si="35"/>
        <v>0.14666666666666667</v>
      </c>
      <c r="AS91" s="704">
        <f ca="1">IF(Data!$E$83=1,Data!$L$117+Data!$F$59+AQ91/Data!$L$116/Data!$E$59/Data!$L$115,Data!$E$90+Data!$F$59+AQ91/Data!$G$90/Data!$E$59/Data!$D$90)</f>
        <v>0.14666666666666667</v>
      </c>
      <c r="AT91" s="704">
        <f t="shared" ca="1" si="36"/>
        <v>0.85400000000000009</v>
      </c>
      <c r="AU91" s="699">
        <f ca="1">IF(Data!$C$59=1,TRUNC(($A91*0.9-AP91)/$P$90*2000*PI()*0.8,0),IF(Data!$C$59=2,TRUNC(($A91*0.8-(AP91+0.1))/$P$90*2000*PI()*0.8,0),""))</f>
        <v>639</v>
      </c>
      <c r="AV91" s="699"/>
      <c r="AW91" s="699"/>
      <c r="AX91" s="704">
        <f t="shared" ca="1" si="37"/>
        <v>2.5940683956043955</v>
      </c>
      <c r="AY91" s="707">
        <f t="shared" ca="1" si="38"/>
        <v>5463.1</v>
      </c>
      <c r="AZ91" s="707">
        <f t="shared" ca="1" si="39"/>
        <v>1821.0333333333335</v>
      </c>
      <c r="BA91" s="704">
        <f t="shared" ca="1" si="40"/>
        <v>0.95557200000000009</v>
      </c>
      <c r="BB91" s="699">
        <f ca="1">IF(Data!$C$59=1,TRUNC(($A25*0.9-BA91)/$P$92*2000*PI()*0.8,0),IF(Data!$C$59=2,TRUNC(($A25*0.8-(BA91+0.1))/$P$92*2000*PI()*0.8,0),""))</f>
        <v>346</v>
      </c>
      <c r="BC91" s="699"/>
      <c r="BD91" s="704">
        <f t="shared" ca="1" si="41"/>
        <v>2.5940683956043955</v>
      </c>
      <c r="BE91" s="707">
        <f t="shared" ca="1" si="42"/>
        <v>5463.1</v>
      </c>
      <c r="BF91" s="707">
        <f t="shared" ca="1" si="50"/>
        <v>910.51666666666677</v>
      </c>
      <c r="BG91" s="699">
        <f t="shared" ca="1" si="43"/>
        <v>0.63704800000000006</v>
      </c>
      <c r="BH91" s="699">
        <f ca="1">IF(Data!$C$59=1,TRUNC(($A25*0.9-BG91)/$P$91*2000*PI()*0.8,0),IF(Data!$C$59=2,TRUNC(($A25*0.8-(BG91+0.1))/$P$91*2000*PI()*0.8,0),""))</f>
        <v>853</v>
      </c>
      <c r="BI91" s="699"/>
      <c r="BJ91" s="704">
        <f t="shared" ca="1" si="44"/>
        <v>2.5940683956043955</v>
      </c>
      <c r="BK91" s="707">
        <f t="shared" ca="1" si="45"/>
        <v>5463.1</v>
      </c>
      <c r="BL91" s="707">
        <f t="shared" ca="1" si="46"/>
        <v>455.25833333333338</v>
      </c>
      <c r="BM91" s="699">
        <f t="shared" ca="1" si="47"/>
        <v>0.31852400000000003</v>
      </c>
      <c r="BN91" s="699">
        <f ca="1">IF(Data!$C$59=1,TRUNC(($A25*0.9-BM91)/$P$90*2000*PI()*0.8,0),IF(Data!$C$59=2,TRUNC(($A25*0.8-(BM91+0.1))/$P$90*2000*PI()*0.8,0),""))</f>
        <v>2026</v>
      </c>
      <c r="BO91" s="699"/>
      <c r="BP91" s="699"/>
      <c r="BQ91" s="699"/>
      <c r="BR91" s="699"/>
      <c r="BS91" s="699"/>
      <c r="BT91" s="699"/>
      <c r="BU91" s="699"/>
      <c r="BV91" s="699"/>
      <c r="BW91" s="699"/>
      <c r="BX91" s="699"/>
      <c r="BY91" s="699"/>
      <c r="BZ91" s="699"/>
      <c r="CA91" s="699"/>
      <c r="CB91" s="699"/>
    </row>
    <row r="92" spans="1:80">
      <c r="A92" s="586">
        <f t="shared" ca="1" si="48"/>
        <v>0.85080000000000011</v>
      </c>
      <c r="B92" s="655">
        <f ca="1">0.12*$B$84</f>
        <v>960</v>
      </c>
      <c r="C92" s="586">
        <f t="shared" ca="1" si="49"/>
        <v>-2.0000000000000019E-5</v>
      </c>
      <c r="D92" s="586">
        <f t="shared" ca="1" si="18"/>
        <v>0.85080000000000011</v>
      </c>
      <c r="N92" s="652" t="s">
        <v>25</v>
      </c>
      <c r="O92" s="620">
        <v>5000</v>
      </c>
      <c r="P92" s="620">
        <v>20</v>
      </c>
      <c r="Q92" s="620">
        <v>0.3</v>
      </c>
      <c r="R92" s="653">
        <f t="shared" ca="1" si="19"/>
        <v>0.31919999999999998</v>
      </c>
      <c r="S92" s="654">
        <f t="shared" ca="1" si="15"/>
        <v>0.31919999999999998</v>
      </c>
      <c r="T92" s="654">
        <f t="shared" ca="1" si="20"/>
        <v>0.35466666666666663</v>
      </c>
      <c r="U92" s="707">
        <f t="shared" ca="1" si="21"/>
        <v>320</v>
      </c>
      <c r="V92" s="707">
        <f t="shared" ca="1" si="22"/>
        <v>960</v>
      </c>
      <c r="W92" s="704">
        <f t="shared" ca="1" si="23"/>
        <v>0.41520000000000001</v>
      </c>
      <c r="X92" s="704">
        <f t="shared" ca="1" si="24"/>
        <v>0.41520000000000001</v>
      </c>
      <c r="Y92" s="704">
        <f t="shared" ca="1" si="25"/>
        <v>0.46133333333333332</v>
      </c>
      <c r="Z92" s="704">
        <f ca="1">IF(Data!$E$83=1,Data!$L$117+Data!$F$59+X92/Data!$L$116/Data!$E$59/Data!$L$115,Data!$E$90+Data!$F$59+X92/Data!$G$90/Data!$E$59/Data!$D$90)</f>
        <v>0.46133333333333332</v>
      </c>
      <c r="AA92" s="705">
        <f t="shared" ca="1" si="26"/>
        <v>0.85080000000000011</v>
      </c>
      <c r="AB92" s="699">
        <f ca="1">IF(Data!$C$59=1,TRUNC(($A92*0.9-W92)/$P$92*2000*PI()*0.8,0),IF(Data!$C$59=2,TRUNC(($A92*0.8-(W92+0.1))/$P$92*2000*PI()*0.8,0),""))</f>
        <v>88</v>
      </c>
      <c r="AC92" s="699"/>
      <c r="AD92" s="706"/>
      <c r="AE92" s="707">
        <f t="shared" ca="1" si="27"/>
        <v>160</v>
      </c>
      <c r="AF92" s="707">
        <f t="shared" ca="1" si="28"/>
        <v>960</v>
      </c>
      <c r="AG92" s="704">
        <f t="shared" ca="1" si="29"/>
        <v>0.27680000000000005</v>
      </c>
      <c r="AH92" s="704">
        <f t="shared" ca="1" si="16"/>
        <v>0.27680000000000005</v>
      </c>
      <c r="AI92" s="705">
        <f t="shared" ca="1" si="30"/>
        <v>0.30755555555555558</v>
      </c>
      <c r="AJ92" s="704">
        <f ca="1">IF(Data!$E$83=1,Data!$L$117+Data!$F$59+AH92/Data!$L$116/Data!$E$59/Data!$L$115,Data!$E$90+Data!$F$59+AH92/Data!$G$90/Data!$E$59/Data!$D$90)</f>
        <v>0.30755555555555558</v>
      </c>
      <c r="AK92" s="704">
        <f t="shared" ca="1" si="31"/>
        <v>0.85080000000000011</v>
      </c>
      <c r="AL92" s="699">
        <f ca="1">IF(Data!$C$59=1,TRUNC(($A92*0.9-AG92)/$P$91*2000*PI()*0.8,0),IF(Data!$C$59=2,TRUNC(($A92*0.8-(AG92+0.1))/$P$91*2000*PI()*0.8,0),""))</f>
        <v>245</v>
      </c>
      <c r="AM92" s="706"/>
      <c r="AN92" s="707">
        <f t="shared" ca="1" si="32"/>
        <v>80</v>
      </c>
      <c r="AO92" s="707">
        <f t="shared" ca="1" si="33"/>
        <v>960</v>
      </c>
      <c r="AP92" s="704">
        <f t="shared" ca="1" si="34"/>
        <v>0.13840000000000002</v>
      </c>
      <c r="AQ92" s="704">
        <f t="shared" ca="1" si="17"/>
        <v>0.13840000000000002</v>
      </c>
      <c r="AR92" s="704">
        <f t="shared" ca="1" si="35"/>
        <v>0.15377777777777779</v>
      </c>
      <c r="AS92" s="704">
        <f ca="1">IF(Data!$E$83=1,Data!$L$117+Data!$F$59+AQ92/Data!$L$116/Data!$E$59/Data!$L$115,Data!$E$90+Data!$F$59+AQ92/Data!$G$90/Data!$E$59/Data!$D$90)</f>
        <v>0.15377777777777779</v>
      </c>
      <c r="AT92" s="704">
        <f t="shared" ca="1" si="36"/>
        <v>0.85080000000000011</v>
      </c>
      <c r="AU92" s="699">
        <f ca="1">IF(Data!$C$59=1,TRUNC(($A92*0.9-AP92)/$P$90*2000*PI()*0.8,0),IF(Data!$C$59=2,TRUNC(($A92*0.8-(AP92+0.1))/$P$90*2000*PI()*0.8,0),""))</f>
        <v>630</v>
      </c>
      <c r="AV92" s="699"/>
      <c r="AW92" s="699"/>
      <c r="AX92" s="704">
        <f t="shared" ca="1" si="37"/>
        <v>2.5510945054945053</v>
      </c>
      <c r="AY92" s="707">
        <f t="shared" ca="1" si="38"/>
        <v>5545.7</v>
      </c>
      <c r="AZ92" s="707">
        <f t="shared" ca="1" si="39"/>
        <v>1848.5666666666666</v>
      </c>
      <c r="BA92" s="704">
        <f t="shared" ca="1" si="40"/>
        <v>0.96548400000000001</v>
      </c>
      <c r="BB92" s="699">
        <f ca="1">IF(Data!$C$59=1,TRUNC(($A26*0.9-BA92)/$P$92*2000*PI()*0.8,0),IF(Data!$C$59=2,TRUNC(($A26*0.8-(BA92+0.1))/$P$92*2000*PI()*0.8,0),""))</f>
        <v>334</v>
      </c>
      <c r="BC92" s="699"/>
      <c r="BD92" s="704">
        <f t="shared" ca="1" si="41"/>
        <v>2.5510945054945053</v>
      </c>
      <c r="BE92" s="707">
        <f t="shared" ca="1" si="42"/>
        <v>5545.7</v>
      </c>
      <c r="BF92" s="707">
        <f t="shared" ca="1" si="50"/>
        <v>924.2833333333333</v>
      </c>
      <c r="BG92" s="699">
        <f t="shared" ca="1" si="43"/>
        <v>0.64365600000000001</v>
      </c>
      <c r="BH92" s="699">
        <f ca="1">IF(Data!$C$59=1,TRUNC(($A26*0.9-BG92)/$P$91*2000*PI()*0.8,0),IF(Data!$C$59=2,TRUNC(($A26*0.8-(BG92+0.1))/$P$91*2000*PI()*0.8,0),""))</f>
        <v>830</v>
      </c>
      <c r="BI92" s="699"/>
      <c r="BJ92" s="704">
        <f t="shared" ca="1" si="44"/>
        <v>2.5510945054945053</v>
      </c>
      <c r="BK92" s="707">
        <f t="shared" ca="1" si="45"/>
        <v>5545.7</v>
      </c>
      <c r="BL92" s="707">
        <f t="shared" ca="1" si="46"/>
        <v>462.14166666666665</v>
      </c>
      <c r="BM92" s="699">
        <f t="shared" ca="1" si="47"/>
        <v>0.321828</v>
      </c>
      <c r="BN92" s="699">
        <f ca="1">IF(Data!$C$59=1,TRUNC(($A26*0.9-BM92)/$P$90*2000*PI()*0.8,0),IF(Data!$C$59=2,TRUNC(($A26*0.8-(BM92+0.1))/$P$90*2000*PI()*0.8,0),""))</f>
        <v>1984</v>
      </c>
      <c r="BO92" s="699"/>
      <c r="BP92" s="699"/>
      <c r="BQ92" s="699"/>
      <c r="BR92" s="699"/>
      <c r="BS92" s="699"/>
      <c r="BT92" s="699"/>
      <c r="BU92" s="699"/>
      <c r="BV92" s="699"/>
      <c r="BW92" s="699"/>
      <c r="BX92" s="699"/>
      <c r="BY92" s="699"/>
      <c r="BZ92" s="699"/>
      <c r="CA92" s="699"/>
      <c r="CB92" s="699"/>
    </row>
    <row r="93" spans="1:80">
      <c r="A93" s="586">
        <f t="shared" ca="1" si="48"/>
        <v>0.84824000000000011</v>
      </c>
      <c r="B93" s="655">
        <f ca="1">0.14*$B$84</f>
        <v>1120</v>
      </c>
      <c r="C93" s="586">
        <f t="shared" ca="1" si="49"/>
        <v>-1.5999999999999969E-5</v>
      </c>
      <c r="D93" s="586">
        <f t="shared" ca="1" si="18"/>
        <v>0.84824000000000011</v>
      </c>
      <c r="O93" s="652" t="s">
        <v>1826</v>
      </c>
      <c r="U93" s="707">
        <f t="shared" ca="1" si="21"/>
        <v>373.33333333333337</v>
      </c>
      <c r="V93" s="707">
        <f t="shared" ca="1" si="22"/>
        <v>1120</v>
      </c>
      <c r="W93" s="704">
        <f t="shared" ca="1" si="23"/>
        <v>0.43440000000000001</v>
      </c>
      <c r="X93" s="704">
        <f t="shared" ca="1" si="24"/>
        <v>0.43440000000000001</v>
      </c>
      <c r="Y93" s="704">
        <f t="shared" ca="1" si="25"/>
        <v>0.48266666666666669</v>
      </c>
      <c r="Z93" s="704">
        <f ca="1">IF(Data!$E$83=1,Data!$L$117+Data!$F$59+X93/Data!$L$116/Data!$E$59/Data!$L$115,Data!$E$90+Data!$F$59+X93/Data!$G$90/Data!$E$59/Data!$D$90)</f>
        <v>0.48266666666666669</v>
      </c>
      <c r="AA93" s="705">
        <f t="shared" ca="1" si="26"/>
        <v>0.84824000000000011</v>
      </c>
      <c r="AB93" s="699">
        <f ca="1">IF(Data!$C$59=1,TRUNC(($A93*0.9-W93)/$P$92*2000*PI()*0.8,0),IF(Data!$C$59=2,TRUNC(($A93*0.8-(W93+0.1))/$P$92*2000*PI()*0.8,0),""))</f>
        <v>82</v>
      </c>
      <c r="AC93" s="699"/>
      <c r="AD93" s="706"/>
      <c r="AE93" s="707">
        <f t="shared" ca="1" si="27"/>
        <v>186.66666666666669</v>
      </c>
      <c r="AF93" s="707">
        <f t="shared" ca="1" si="28"/>
        <v>1120</v>
      </c>
      <c r="AG93" s="704">
        <f t="shared" ca="1" si="29"/>
        <v>0.28960000000000002</v>
      </c>
      <c r="AH93" s="704">
        <f t="shared" ca="1" si="16"/>
        <v>0.28960000000000002</v>
      </c>
      <c r="AI93" s="705">
        <f t="shared" ca="1" si="30"/>
        <v>0.32177777777777777</v>
      </c>
      <c r="AJ93" s="704">
        <f ca="1">IF(Data!$E$83=1,Data!$L$117+Data!$F$59+AH93/Data!$L$116/Data!$E$59/Data!$L$115,Data!$E$90+Data!$F$59+AH93/Data!$G$90/Data!$E$59/Data!$D$90)</f>
        <v>0.32177777777777777</v>
      </c>
      <c r="AK93" s="704">
        <f t="shared" ca="1" si="31"/>
        <v>0.84824000000000011</v>
      </c>
      <c r="AL93" s="699">
        <f ca="1">IF(Data!$C$59=1,TRUNC(($A93*0.9-AG93)/$P$91*2000*PI()*0.8,0),IF(Data!$C$59=2,TRUNC(($A93*0.8-(AG93+0.1))/$P$91*2000*PI()*0.8,0),""))</f>
        <v>238</v>
      </c>
      <c r="AM93" s="706"/>
      <c r="AN93" s="707">
        <f t="shared" ca="1" si="32"/>
        <v>93.333333333333343</v>
      </c>
      <c r="AO93" s="707">
        <f t="shared" ca="1" si="33"/>
        <v>1120</v>
      </c>
      <c r="AP93" s="704">
        <f t="shared" ca="1" si="34"/>
        <v>0.14480000000000001</v>
      </c>
      <c r="AQ93" s="704">
        <f t="shared" ca="1" si="17"/>
        <v>0.14480000000000001</v>
      </c>
      <c r="AR93" s="704">
        <f t="shared" ca="1" si="35"/>
        <v>0.16088888888888889</v>
      </c>
      <c r="AS93" s="704">
        <f ca="1">IF(Data!$E$83=1,Data!$L$117+Data!$F$59+AQ93/Data!$L$116/Data!$E$59/Data!$L$115,Data!$E$90+Data!$F$59+AQ93/Data!$G$90/Data!$E$59/Data!$D$90)</f>
        <v>0.16088888888888889</v>
      </c>
      <c r="AT93" s="704">
        <f t="shared" ca="1" si="36"/>
        <v>0.84824000000000011</v>
      </c>
      <c r="AU93" s="699">
        <f ca="1">IF(Data!$C$59=1,TRUNC(($A93*0.9-AP93)/$P$90*2000*PI()*0.8,0),IF(Data!$C$59=2,TRUNC(($A93*0.8-(AP93+0.1))/$P$90*2000*PI()*0.8,0),""))</f>
        <v>621</v>
      </c>
      <c r="AV93" s="699"/>
      <c r="AW93" s="699"/>
      <c r="AX93" s="704">
        <f t="shared" ca="1" si="37"/>
        <v>2.5075242197802194</v>
      </c>
      <c r="AY93" s="707">
        <f t="shared" ca="1" si="38"/>
        <v>5630</v>
      </c>
      <c r="AZ93" s="707">
        <f t="shared" ca="1" si="39"/>
        <v>1876.6666666666665</v>
      </c>
      <c r="BA93" s="704">
        <f t="shared" ca="1" si="40"/>
        <v>0.9755999999999998</v>
      </c>
      <c r="BB93" s="699">
        <f ca="1">IF(Data!$C$59=1,TRUNC(($A27*0.9-BA93)/$P$92*2000*PI()*0.8,0),IF(Data!$C$59=2,TRUNC(($A27*0.8-(BA93+0.1))/$P$92*2000*PI()*0.8,0),""))</f>
        <v>321</v>
      </c>
      <c r="BC93" s="699"/>
      <c r="BD93" s="704">
        <f t="shared" ca="1" si="41"/>
        <v>2.5075242197802194</v>
      </c>
      <c r="BE93" s="707">
        <f t="shared" ca="1" si="42"/>
        <v>5630</v>
      </c>
      <c r="BF93" s="707">
        <f t="shared" ca="1" si="50"/>
        <v>938.33333333333326</v>
      </c>
      <c r="BG93" s="699">
        <f t="shared" ca="1" si="43"/>
        <v>0.65039999999999998</v>
      </c>
      <c r="BH93" s="699">
        <f ca="1">IF(Data!$C$59=1,TRUNC(($A27*0.9-BG93)/$P$91*2000*PI()*0.8,0),IF(Data!$C$59=2,TRUNC(($A27*0.8-(BG93+0.1))/$P$91*2000*PI()*0.8,0),""))</f>
        <v>807</v>
      </c>
      <c r="BI93" s="699"/>
      <c r="BJ93" s="704">
        <f t="shared" ca="1" si="44"/>
        <v>2.5075242197802194</v>
      </c>
      <c r="BK93" s="707">
        <f t="shared" ca="1" si="45"/>
        <v>5630</v>
      </c>
      <c r="BL93" s="707">
        <f t="shared" ca="1" si="46"/>
        <v>469.16666666666663</v>
      </c>
      <c r="BM93" s="699">
        <f t="shared" ca="1" si="47"/>
        <v>0.32519999999999999</v>
      </c>
      <c r="BN93" s="699">
        <f ca="1">IF(Data!$C$59=1,TRUNC(($A27*0.9-BM93)/$P$90*2000*PI()*0.8,0),IF(Data!$C$59=2,TRUNC(($A27*0.8-(BM93+0.1))/$P$90*2000*PI()*0.8,0),""))</f>
        <v>1941</v>
      </c>
      <c r="BO93" s="699"/>
      <c r="BP93" s="699"/>
      <c r="BQ93" s="699"/>
      <c r="BR93" s="699"/>
      <c r="BS93" s="699"/>
      <c r="BT93" s="699"/>
      <c r="BU93" s="699"/>
      <c r="BV93" s="699"/>
      <c r="BW93" s="699"/>
      <c r="BX93" s="699"/>
      <c r="BY93" s="699"/>
      <c r="BZ93" s="699"/>
      <c r="CA93" s="699"/>
      <c r="CB93" s="699"/>
    </row>
    <row r="94" spans="1:80">
      <c r="A94" s="586">
        <f t="shared" ca="1" si="48"/>
        <v>0.8456800000000001</v>
      </c>
      <c r="B94" s="655">
        <f ca="1">0.16*$B$84</f>
        <v>1280</v>
      </c>
      <c r="C94" s="586">
        <f t="shared" ca="1" si="49"/>
        <v>-1.5999999999999969E-5</v>
      </c>
      <c r="D94" s="586">
        <f t="shared" ca="1" si="18"/>
        <v>0.8456800000000001</v>
      </c>
      <c r="O94" s="652" t="s">
        <v>12</v>
      </c>
      <c r="U94" s="707">
        <f t="shared" ca="1" si="21"/>
        <v>426.66666666666663</v>
      </c>
      <c r="V94" s="707">
        <f t="shared" ca="1" si="22"/>
        <v>1280</v>
      </c>
      <c r="W94" s="704">
        <f t="shared" ca="1" si="23"/>
        <v>0.4536</v>
      </c>
      <c r="X94" s="704">
        <f t="shared" ca="1" si="24"/>
        <v>0.4536</v>
      </c>
      <c r="Y94" s="704">
        <f t="shared" ca="1" si="25"/>
        <v>0.504</v>
      </c>
      <c r="Z94" s="704">
        <f ca="1">IF(Data!$E$83=1,Data!$L$117+Data!$F$59+X94/Data!$L$116/Data!$E$59/Data!$L$115,Data!$E$90+Data!$F$59+X94/Data!$G$90/Data!$E$59/Data!$D$90)</f>
        <v>0.504</v>
      </c>
      <c r="AA94" s="705">
        <f t="shared" ca="1" si="26"/>
        <v>0.8456800000000001</v>
      </c>
      <c r="AB94" s="699">
        <f ca="1">IF(Data!$C$59=1,TRUNC(($A94*0.9-W94)/$P$92*2000*PI()*0.8,0),IF(Data!$C$59=2,TRUNC(($A94*0.8-(W94+0.1))/$P$92*2000*PI()*0.8,0),""))</f>
        <v>77</v>
      </c>
      <c r="AC94" s="699"/>
      <c r="AD94" s="706"/>
      <c r="AE94" s="707">
        <f t="shared" ca="1" si="27"/>
        <v>213.33333333333331</v>
      </c>
      <c r="AF94" s="707">
        <f t="shared" ca="1" si="28"/>
        <v>1280</v>
      </c>
      <c r="AG94" s="704">
        <f t="shared" ca="1" si="29"/>
        <v>0.3024</v>
      </c>
      <c r="AH94" s="704">
        <f t="shared" ca="1" si="16"/>
        <v>0.3024</v>
      </c>
      <c r="AI94" s="705">
        <f t="shared" ca="1" si="30"/>
        <v>0.33600000000000002</v>
      </c>
      <c r="AJ94" s="704">
        <f ca="1">IF(Data!$E$83=1,Data!$L$117+Data!$F$59+AH94/Data!$L$116/Data!$E$59/Data!$L$115,Data!$E$90+Data!$F$59+AH94/Data!$G$90/Data!$E$59/Data!$D$90)</f>
        <v>0.33600000000000002</v>
      </c>
      <c r="AK94" s="704">
        <f t="shared" ca="1" si="31"/>
        <v>0.8456800000000001</v>
      </c>
      <c r="AL94" s="699">
        <f ca="1">IF(Data!$C$59=1,TRUNC(($A94*0.9-AG94)/$P$91*2000*PI()*0.8,0),IF(Data!$C$59=2,TRUNC(($A94*0.8-(AG94+0.1))/$P$91*2000*PI()*0.8,0),""))</f>
        <v>230</v>
      </c>
      <c r="AM94" s="706"/>
      <c r="AN94" s="707">
        <f t="shared" ca="1" si="32"/>
        <v>106.66666666666666</v>
      </c>
      <c r="AO94" s="707">
        <f t="shared" ca="1" si="33"/>
        <v>1280</v>
      </c>
      <c r="AP94" s="704">
        <f t="shared" ca="1" si="34"/>
        <v>0.1512</v>
      </c>
      <c r="AQ94" s="704">
        <f t="shared" ca="1" si="17"/>
        <v>0.1512</v>
      </c>
      <c r="AR94" s="704">
        <f t="shared" ca="1" si="35"/>
        <v>0.16800000000000001</v>
      </c>
      <c r="AS94" s="704">
        <f ca="1">IF(Data!$E$83=1,Data!$L$117+Data!$F$59+AQ94/Data!$L$116/Data!$E$59/Data!$L$115,Data!$E$90+Data!$F$59+AQ94/Data!$G$90/Data!$E$59/Data!$D$90)</f>
        <v>0.16800000000000001</v>
      </c>
      <c r="AT94" s="704">
        <f t="shared" ca="1" si="36"/>
        <v>0.8456800000000001</v>
      </c>
      <c r="AU94" s="699">
        <f ca="1">IF(Data!$C$59=1,TRUNC(($A94*0.9-AP94)/$P$90*2000*PI()*0.8,0),IF(Data!$C$59=2,TRUNC(($A94*0.8-(AP94+0.1))/$P$90*2000*PI()*0.8,0),""))</f>
        <v>613</v>
      </c>
      <c r="AV94" s="699"/>
      <c r="AW94" s="699"/>
      <c r="AX94" s="704">
        <f t="shared" ca="1" si="37"/>
        <v>2.4633575384615383</v>
      </c>
      <c r="AY94" s="707">
        <f t="shared" ca="1" si="38"/>
        <v>5715.8</v>
      </c>
      <c r="AZ94" s="707">
        <f t="shared" ca="1" si="39"/>
        <v>1905.2666666666667</v>
      </c>
      <c r="BA94" s="704">
        <f t="shared" ca="1" si="40"/>
        <v>0.98589599999999988</v>
      </c>
      <c r="BB94" s="699">
        <f ca="1">IF(Data!$C$59=1,TRUNC(($A28*0.9-BA94)/$P$92*2000*PI()*0.8,0),IF(Data!$C$59=2,TRUNC(($A28*0.8-(BA94+0.1))/$P$92*2000*PI()*0.8,0),""))</f>
        <v>309</v>
      </c>
      <c r="BC94" s="699"/>
      <c r="BD94" s="704">
        <f t="shared" ca="1" si="41"/>
        <v>2.4633575384615383</v>
      </c>
      <c r="BE94" s="707">
        <f t="shared" ca="1" si="42"/>
        <v>5715.8</v>
      </c>
      <c r="BF94" s="707">
        <f t="shared" ca="1" si="50"/>
        <v>952.63333333333333</v>
      </c>
      <c r="BG94" s="699">
        <f t="shared" ca="1" si="43"/>
        <v>0.65726400000000007</v>
      </c>
      <c r="BH94" s="699">
        <f ca="1">IF(Data!$C$59=1,TRUNC(($A28*0.9-BG94)/$P$91*2000*PI()*0.8,0),IF(Data!$C$59=2,TRUNC(($A28*0.8-(BG94+0.1))/$P$91*2000*PI()*0.8,0),""))</f>
        <v>784</v>
      </c>
      <c r="BI94" s="699"/>
      <c r="BJ94" s="704">
        <f t="shared" ca="1" si="44"/>
        <v>2.4633575384615383</v>
      </c>
      <c r="BK94" s="707">
        <f t="shared" ca="1" si="45"/>
        <v>5715.8</v>
      </c>
      <c r="BL94" s="707">
        <f t="shared" ca="1" si="46"/>
        <v>476.31666666666666</v>
      </c>
      <c r="BM94" s="699">
        <f t="shared" ca="1" si="47"/>
        <v>0.32863200000000004</v>
      </c>
      <c r="BN94" s="699">
        <f ca="1">IF(Data!$C$59=1,TRUNC(($A28*0.9-BM94)/$P$90*2000*PI()*0.8,0),IF(Data!$C$59=2,TRUNC(($A28*0.8-(BM94+0.1))/$P$90*2000*PI()*0.8,0),""))</f>
        <v>1898</v>
      </c>
      <c r="BO94" s="699"/>
      <c r="BP94" s="699"/>
      <c r="BQ94" s="699"/>
      <c r="BR94" s="699"/>
      <c r="BS94" s="699"/>
      <c r="BT94" s="699"/>
      <c r="BU94" s="699"/>
      <c r="BV94" s="699"/>
      <c r="BW94" s="699"/>
      <c r="BX94" s="699"/>
      <c r="BY94" s="699"/>
      <c r="BZ94" s="699"/>
      <c r="CA94" s="699"/>
      <c r="CB94" s="699"/>
    </row>
    <row r="95" spans="1:80">
      <c r="A95" s="586">
        <f t="shared" ca="1" si="48"/>
        <v>0.84312000000000009</v>
      </c>
      <c r="B95" s="655">
        <f ca="1">0.18*$B$84</f>
        <v>1440</v>
      </c>
      <c r="C95" s="586">
        <f t="shared" ca="1" si="49"/>
        <v>-1.5999999999999969E-5</v>
      </c>
      <c r="D95" s="586">
        <f t="shared" ca="1" si="18"/>
        <v>0.84312000000000009</v>
      </c>
      <c r="N95" s="652" t="s">
        <v>19</v>
      </c>
      <c r="O95" s="620">
        <f>O86/60*P86</f>
        <v>400</v>
      </c>
      <c r="U95" s="707">
        <f t="shared" ca="1" si="21"/>
        <v>480</v>
      </c>
      <c r="V95" s="707">
        <f t="shared" ca="1" si="22"/>
        <v>1440</v>
      </c>
      <c r="W95" s="704">
        <f t="shared" ca="1" si="23"/>
        <v>0.4728</v>
      </c>
      <c r="X95" s="704">
        <f t="shared" ca="1" si="24"/>
        <v>0.4728</v>
      </c>
      <c r="Y95" s="704">
        <f t="shared" ca="1" si="25"/>
        <v>0.52533333333333332</v>
      </c>
      <c r="Z95" s="704">
        <f ca="1">IF(Data!$E$83=1,Data!$L$117+Data!$F$59+X95/Data!$L$116/Data!$E$59/Data!$L$115,Data!$E$90+Data!$F$59+X95/Data!$G$90/Data!$E$59/Data!$D$90)</f>
        <v>0.52533333333333332</v>
      </c>
      <c r="AA95" s="705">
        <f t="shared" ca="1" si="26"/>
        <v>0.84312000000000009</v>
      </c>
      <c r="AB95" s="699">
        <f ca="1">IF(Data!$C$59=1,TRUNC(($A95*0.9-W95)/$P$92*2000*PI()*0.8,0),IF(Data!$C$59=2,TRUNC(($A95*0.8-(W95+0.1))/$P$92*2000*PI()*0.8,0),""))</f>
        <v>71</v>
      </c>
      <c r="AC95" s="699"/>
      <c r="AD95" s="706"/>
      <c r="AE95" s="707">
        <f t="shared" ca="1" si="27"/>
        <v>240</v>
      </c>
      <c r="AF95" s="707">
        <f t="shared" ca="1" si="28"/>
        <v>1440</v>
      </c>
      <c r="AG95" s="704">
        <f t="shared" ca="1" si="29"/>
        <v>0.31520000000000004</v>
      </c>
      <c r="AH95" s="704">
        <f t="shared" ca="1" si="16"/>
        <v>0.31520000000000004</v>
      </c>
      <c r="AI95" s="705">
        <f t="shared" ca="1" si="30"/>
        <v>0.35022222222222227</v>
      </c>
      <c r="AJ95" s="704">
        <f ca="1">IF(Data!$E$83=1,Data!$L$117+Data!$F$59+AH95/Data!$L$116/Data!$E$59/Data!$L$115,Data!$E$90+Data!$F$59+AH95/Data!$G$90/Data!$E$59/Data!$D$90)</f>
        <v>0.35022222222222227</v>
      </c>
      <c r="AK95" s="704">
        <f t="shared" ca="1" si="31"/>
        <v>0.84312000000000009</v>
      </c>
      <c r="AL95" s="699">
        <f ca="1">IF(Data!$C$59=1,TRUNC(($A95*0.9-AG95)/$P$91*2000*PI()*0.8,0),IF(Data!$C$59=2,TRUNC(($A95*0.8-(AG95+0.1))/$P$91*2000*PI()*0.8,0),""))</f>
        <v>222</v>
      </c>
      <c r="AM95" s="706"/>
      <c r="AN95" s="707">
        <f t="shared" ca="1" si="32"/>
        <v>120</v>
      </c>
      <c r="AO95" s="707">
        <f t="shared" ca="1" si="33"/>
        <v>1440</v>
      </c>
      <c r="AP95" s="704">
        <f t="shared" ca="1" si="34"/>
        <v>0.15760000000000002</v>
      </c>
      <c r="AQ95" s="704">
        <f t="shared" ca="1" si="17"/>
        <v>0.15760000000000002</v>
      </c>
      <c r="AR95" s="704">
        <f t="shared" ca="1" si="35"/>
        <v>0.17511111111111113</v>
      </c>
      <c r="AS95" s="704">
        <f ca="1">IF(Data!$E$83=1,Data!$L$117+Data!$F$59+AQ95/Data!$L$116/Data!$E$59/Data!$L$115,Data!$E$90+Data!$F$59+AQ95/Data!$G$90/Data!$E$59/Data!$D$90)</f>
        <v>0.17511111111111113</v>
      </c>
      <c r="AT95" s="704">
        <f t="shared" ca="1" si="36"/>
        <v>0.84312000000000009</v>
      </c>
      <c r="AU95" s="699">
        <f ca="1">IF(Data!$C$59=1,TRUNC(($A95*0.9-AP95)/$P$90*2000*PI()*0.8,0),IF(Data!$C$59=2,TRUNC(($A95*0.8-(AP95+0.1))/$P$90*2000*PI()*0.8,0),""))</f>
        <v>604</v>
      </c>
      <c r="AV95" s="699"/>
      <c r="AW95" s="699"/>
      <c r="AX95" s="704">
        <f t="shared" ca="1" si="37"/>
        <v>2.4185944615384618</v>
      </c>
      <c r="AY95" s="707">
        <f t="shared" ca="1" si="38"/>
        <v>5803.3</v>
      </c>
      <c r="AZ95" s="707">
        <f t="shared" ca="1" si="39"/>
        <v>1934.4333333333334</v>
      </c>
      <c r="BA95" s="704">
        <f t="shared" ca="1" si="40"/>
        <v>0.99639600000000006</v>
      </c>
      <c r="BB95" s="699">
        <f ca="1">IF(Data!$C$59=1,TRUNC(($A29*0.9-BA95)/$P$92*2000*PI()*0.8,0),IF(Data!$C$59=2,TRUNC(($A29*0.8-(BA95+0.1))/$P$92*2000*PI()*0.8,0),""))</f>
        <v>296</v>
      </c>
      <c r="BC95" s="699"/>
      <c r="BD95" s="704">
        <f t="shared" ca="1" si="41"/>
        <v>2.4185944615384618</v>
      </c>
      <c r="BE95" s="707">
        <f t="shared" ca="1" si="42"/>
        <v>5803.3</v>
      </c>
      <c r="BF95" s="707">
        <f t="shared" ca="1" si="50"/>
        <v>967.2166666666667</v>
      </c>
      <c r="BG95" s="699">
        <f t="shared" ca="1" si="43"/>
        <v>0.66426399999999997</v>
      </c>
      <c r="BH95" s="699">
        <f ca="1">IF(Data!$C$59=1,TRUNC(($A29*0.9-BG95)/$P$91*2000*PI()*0.8,0),IF(Data!$C$59=2,TRUNC(($A29*0.8-(BG95+0.1))/$P$91*2000*PI()*0.8,0),""))</f>
        <v>760</v>
      </c>
      <c r="BI95" s="699"/>
      <c r="BJ95" s="704">
        <f t="shared" ca="1" si="44"/>
        <v>2.4185944615384618</v>
      </c>
      <c r="BK95" s="707">
        <f t="shared" ca="1" si="45"/>
        <v>5803.3</v>
      </c>
      <c r="BL95" s="707">
        <f t="shared" ca="1" si="46"/>
        <v>483.60833333333335</v>
      </c>
      <c r="BM95" s="699">
        <f t="shared" ca="1" si="47"/>
        <v>0.33213199999999998</v>
      </c>
      <c r="BN95" s="699">
        <f ca="1">IF(Data!$C$59=1,TRUNC(($A29*0.9-BM95)/$P$90*2000*PI()*0.8,0),IF(Data!$C$59=2,TRUNC(($A29*0.8-(BM95+0.1))/$P$90*2000*PI()*0.8,0),""))</f>
        <v>1854</v>
      </c>
      <c r="BO95" s="699"/>
      <c r="BP95" s="699"/>
      <c r="BQ95" s="699"/>
      <c r="BR95" s="699"/>
      <c r="BS95" s="699"/>
      <c r="BT95" s="699"/>
      <c r="BU95" s="699"/>
      <c r="BV95" s="699"/>
      <c r="BW95" s="699"/>
      <c r="BX95" s="699"/>
      <c r="BY95" s="699"/>
      <c r="BZ95" s="699"/>
      <c r="CA95" s="699"/>
      <c r="CB95" s="699"/>
    </row>
    <row r="96" spans="1:80">
      <c r="A96" s="586">
        <f t="shared" ca="1" si="48"/>
        <v>0.84056000000000008</v>
      </c>
      <c r="B96" s="655">
        <f ca="1">0.2*$B$84</f>
        <v>1600</v>
      </c>
      <c r="C96" s="586">
        <f t="shared" ca="1" si="49"/>
        <v>-1.5999999999999969E-5</v>
      </c>
      <c r="D96" s="586">
        <f t="shared" ca="1" si="18"/>
        <v>0.84056000000000008</v>
      </c>
      <c r="N96" s="652" t="s">
        <v>20</v>
      </c>
      <c r="O96" s="656">
        <f t="shared" ref="O96:O101" si="51">O87/60*P87</f>
        <v>1333.3333333333335</v>
      </c>
      <c r="U96" s="708">
        <f t="shared" ca="1" si="21"/>
        <v>533.33333333333337</v>
      </c>
      <c r="V96" s="708">
        <f t="shared" ca="1" si="22"/>
        <v>1600</v>
      </c>
      <c r="W96" s="709">
        <f t="shared" ca="1" si="23"/>
        <v>0.49199999999999999</v>
      </c>
      <c r="X96" s="709">
        <f t="shared" ca="1" si="24"/>
        <v>0.49199999999999999</v>
      </c>
      <c r="Y96" s="704">
        <f t="shared" ca="1" si="25"/>
        <v>0.54666666666666663</v>
      </c>
      <c r="Z96" s="704">
        <f ca="1">IF(Data!$E$83=1,Data!$L$117+Data!$F$59+X96/Data!$L$116/Data!$E$59/Data!$L$115,Data!$E$90+Data!$F$59+X96/Data!$G$90/Data!$E$59/Data!$D$90)</f>
        <v>0.54666666666666663</v>
      </c>
      <c r="AA96" s="710">
        <f t="shared" ca="1" si="26"/>
        <v>0.84056000000000008</v>
      </c>
      <c r="AB96" s="699">
        <f ca="1">IF(Data!$C$59=1,TRUNC(($A96*0.9-W96)/$P$92*2000*PI()*0.8,0),IF(Data!$C$59=2,TRUNC(($A96*0.8-(W96+0.1))/$P$92*2000*PI()*0.8,0),""))</f>
        <v>66</v>
      </c>
      <c r="AC96" s="699"/>
      <c r="AD96" s="706"/>
      <c r="AE96" s="708">
        <f t="shared" ca="1" si="27"/>
        <v>266.66666666666669</v>
      </c>
      <c r="AF96" s="708">
        <f t="shared" ca="1" si="28"/>
        <v>1600</v>
      </c>
      <c r="AG96" s="709">
        <f t="shared" ca="1" si="29"/>
        <v>0.32800000000000001</v>
      </c>
      <c r="AH96" s="709">
        <f t="shared" ca="1" si="16"/>
        <v>0.32800000000000001</v>
      </c>
      <c r="AI96" s="705">
        <f t="shared" ca="1" si="30"/>
        <v>0.36444444444444446</v>
      </c>
      <c r="AJ96" s="704">
        <f ca="1">IF(Data!$E$83=1,Data!$L$117+Data!$F$59+AH96/Data!$L$116/Data!$E$59/Data!$L$115,Data!$E$90+Data!$F$59+AH96/Data!$G$90/Data!$E$59/Data!$D$90)</f>
        <v>0.36444444444444446</v>
      </c>
      <c r="AK96" s="709">
        <f t="shared" ca="1" si="31"/>
        <v>0.84056000000000008</v>
      </c>
      <c r="AL96" s="699">
        <f ca="1">IF(Data!$C$59=1,TRUNC(($A96*0.9-AG96)/$P$91*2000*PI()*0.8,0),IF(Data!$C$59=2,TRUNC(($A96*0.8-(AG96+0.1))/$P$91*2000*PI()*0.8,0),""))</f>
        <v>215</v>
      </c>
      <c r="AM96" s="706"/>
      <c r="AN96" s="708">
        <f t="shared" ca="1" si="32"/>
        <v>133.33333333333334</v>
      </c>
      <c r="AO96" s="708">
        <f t="shared" ca="1" si="33"/>
        <v>1600</v>
      </c>
      <c r="AP96" s="709">
        <f t="shared" ca="1" si="34"/>
        <v>0.16400000000000001</v>
      </c>
      <c r="AQ96" s="709">
        <f t="shared" ca="1" si="17"/>
        <v>0.16400000000000001</v>
      </c>
      <c r="AR96" s="704">
        <f t="shared" ca="1" si="35"/>
        <v>0.18222222222222223</v>
      </c>
      <c r="AS96" s="704">
        <f ca="1">IF(Data!$E$83=1,Data!$L$117+Data!$F$59+AQ96/Data!$L$116/Data!$E$59/Data!$L$115,Data!$E$90+Data!$F$59+AQ96/Data!$G$90/Data!$E$59/Data!$D$90)</f>
        <v>0.18222222222222223</v>
      </c>
      <c r="AT96" s="709">
        <f t="shared" ca="1" si="36"/>
        <v>0.84056000000000008</v>
      </c>
      <c r="AU96" s="699">
        <f ca="1">IF(Data!$C$59=1,TRUNC(($A96*0.9-AP96)/$P$90*2000*PI()*0.8,0),IF(Data!$C$59=2,TRUNC(($A96*0.8-(AP96+0.1))/$P$90*2000*PI()*0.8,0),""))</f>
        <v>595</v>
      </c>
      <c r="AV96" s="711"/>
      <c r="AW96" s="711"/>
      <c r="AX96" s="704">
        <f t="shared" ca="1" si="37"/>
        <v>2.3732349890109892</v>
      </c>
      <c r="AY96" s="707">
        <f t="shared" ca="1" si="38"/>
        <v>5892.4</v>
      </c>
      <c r="AZ96" s="707">
        <f t="shared" ca="1" si="39"/>
        <v>1964.1333333333332</v>
      </c>
      <c r="BA96" s="704">
        <f t="shared" ca="1" si="40"/>
        <v>1.007088</v>
      </c>
      <c r="BB96" s="699">
        <f ca="1">IF(Data!$C$59=1,TRUNC(($A30*0.9-BA96)/$P$92*2000*PI()*0.8,0),IF(Data!$C$59=2,TRUNC(($A30*0.8-(BA96+0.1))/$P$92*2000*PI()*0.8,0),""))</f>
        <v>283</v>
      </c>
      <c r="BC96" s="711"/>
      <c r="BD96" s="704">
        <f t="shared" ca="1" si="41"/>
        <v>2.3732349890109892</v>
      </c>
      <c r="BE96" s="707">
        <f t="shared" ca="1" si="42"/>
        <v>5892.4</v>
      </c>
      <c r="BF96" s="707">
        <f t="shared" ca="1" si="50"/>
        <v>982.06666666666661</v>
      </c>
      <c r="BG96" s="699">
        <f t="shared" ca="1" si="43"/>
        <v>0.67139199999999999</v>
      </c>
      <c r="BH96" s="699">
        <f ca="1">IF(Data!$C$59=1,TRUNC(($A30*0.9-BG96)/$P$91*2000*PI()*0.8,0),IF(Data!$C$59=2,TRUNC(($A30*0.8-(BG96+0.1))/$P$91*2000*PI()*0.8,0),""))</f>
        <v>736</v>
      </c>
      <c r="BI96" s="711"/>
      <c r="BJ96" s="704">
        <f t="shared" ca="1" si="44"/>
        <v>2.3732349890109892</v>
      </c>
      <c r="BK96" s="707">
        <f t="shared" ca="1" si="45"/>
        <v>5892.4</v>
      </c>
      <c r="BL96" s="707">
        <f t="shared" ca="1" si="46"/>
        <v>491.0333333333333</v>
      </c>
      <c r="BM96" s="699">
        <f t="shared" ca="1" si="47"/>
        <v>0.33569599999999999</v>
      </c>
      <c r="BN96" s="699">
        <f ca="1">IF(Data!$C$59=1,TRUNC(($A30*0.9-BM96)/$P$90*2000*PI()*0.8,0),IF(Data!$C$59=2,TRUNC(($A30*0.8-(BM96+0.1))/$P$90*2000*PI()*0.8,0),""))</f>
        <v>1809</v>
      </c>
      <c r="BO96" s="711"/>
      <c r="BP96" s="711"/>
      <c r="BQ96" s="711"/>
      <c r="BR96" s="711"/>
      <c r="BS96" s="711"/>
      <c r="BT96" s="711"/>
      <c r="BU96" s="711"/>
      <c r="BV96" s="711"/>
      <c r="BW96" s="711"/>
      <c r="BX96" s="711"/>
      <c r="BY96" s="711"/>
      <c r="BZ96" s="711"/>
      <c r="CA96" s="711"/>
      <c r="CB96" s="711"/>
    </row>
    <row r="97" spans="1:80">
      <c r="A97" s="586">
        <f t="shared" ca="1" si="48"/>
        <v>0.83800000000000008</v>
      </c>
      <c r="B97" s="655">
        <f ca="1">0.22*$B$84</f>
        <v>1760</v>
      </c>
      <c r="C97" s="586">
        <f t="shared" ca="1" si="49"/>
        <v>-1.5999999999999969E-5</v>
      </c>
      <c r="D97" s="586">
        <f t="shared" ca="1" si="18"/>
        <v>0.83800000000000008</v>
      </c>
      <c r="N97" s="652" t="s">
        <v>21</v>
      </c>
      <c r="O97" s="620">
        <f t="shared" si="51"/>
        <v>400</v>
      </c>
      <c r="U97" s="707">
        <f t="shared" ca="1" si="21"/>
        <v>586.66666666666663</v>
      </c>
      <c r="V97" s="707">
        <f t="shared" ca="1" si="22"/>
        <v>1760</v>
      </c>
      <c r="W97" s="704">
        <f t="shared" ca="1" si="23"/>
        <v>0.51119999999999999</v>
      </c>
      <c r="X97" s="704">
        <f t="shared" ca="1" si="24"/>
        <v>0.51119999999999999</v>
      </c>
      <c r="Y97" s="704">
        <f t="shared" ca="1" si="25"/>
        <v>0.56799999999999995</v>
      </c>
      <c r="Z97" s="704">
        <f ca="1">IF(Data!$E$83=1,Data!$L$117+Data!$F$59+X97/Data!$L$116/Data!$E$59/Data!$L$115,Data!$E$90+Data!$F$59+X97/Data!$G$90/Data!$E$59/Data!$D$90)</f>
        <v>0.56799999999999995</v>
      </c>
      <c r="AA97" s="705">
        <f t="shared" ca="1" si="26"/>
        <v>0.83800000000000008</v>
      </c>
      <c r="AB97" s="699">
        <f ca="1">IF(Data!$C$59=1,TRUNC(($A97*0.9-W97)/$P$92*2000*PI()*0.8,0),IF(Data!$C$59=2,TRUNC(($A97*0.8-(W97+0.1))/$P$92*2000*PI()*0.8,0),""))</f>
        <v>61</v>
      </c>
      <c r="AC97" s="699"/>
      <c r="AD97" s="706"/>
      <c r="AE97" s="707">
        <f t="shared" ca="1" si="27"/>
        <v>293.33333333333331</v>
      </c>
      <c r="AF97" s="707">
        <f t="shared" ca="1" si="28"/>
        <v>1760</v>
      </c>
      <c r="AG97" s="704">
        <f t="shared" ca="1" si="29"/>
        <v>0.34079999999999999</v>
      </c>
      <c r="AH97" s="704">
        <f t="shared" ca="1" si="16"/>
        <v>0.34079999999999999</v>
      </c>
      <c r="AI97" s="705">
        <f t="shared" ca="1" si="30"/>
        <v>0.37866666666666665</v>
      </c>
      <c r="AJ97" s="704">
        <f ca="1">IF(Data!$E$83=1,Data!$L$117+Data!$F$59+AH97/Data!$L$116/Data!$E$59/Data!$L$115,Data!$E$90+Data!$F$59+AH97/Data!$G$90/Data!$E$59/Data!$D$90)</f>
        <v>0.37866666666666665</v>
      </c>
      <c r="AK97" s="704">
        <f t="shared" ca="1" si="31"/>
        <v>0.83800000000000008</v>
      </c>
      <c r="AL97" s="699">
        <f ca="1">IF(Data!$C$59=1,TRUNC(($A97*0.9-AG97)/$P$91*2000*PI()*0.8,0),IF(Data!$C$59=2,TRUNC(($A97*0.8-(AG97+0.1))/$P$91*2000*PI()*0.8,0),""))</f>
        <v>207</v>
      </c>
      <c r="AM97" s="706"/>
      <c r="AN97" s="707">
        <f t="shared" ca="1" si="32"/>
        <v>146.66666666666666</v>
      </c>
      <c r="AO97" s="707">
        <f t="shared" ca="1" si="33"/>
        <v>1760</v>
      </c>
      <c r="AP97" s="704">
        <f t="shared" ca="1" si="34"/>
        <v>0.1704</v>
      </c>
      <c r="AQ97" s="704">
        <f t="shared" ca="1" si="17"/>
        <v>0.1704</v>
      </c>
      <c r="AR97" s="704">
        <f t="shared" ca="1" si="35"/>
        <v>0.18933333333333333</v>
      </c>
      <c r="AS97" s="704">
        <f ca="1">IF(Data!$E$83=1,Data!$L$117+Data!$F$59+AQ97/Data!$L$116/Data!$E$59/Data!$L$115,Data!$E$90+Data!$F$59+AQ97/Data!$G$90/Data!$E$59/Data!$D$90)</f>
        <v>0.18933333333333333</v>
      </c>
      <c r="AT97" s="704">
        <f t="shared" ca="1" si="36"/>
        <v>0.83800000000000008</v>
      </c>
      <c r="AU97" s="699">
        <f ca="1">IF(Data!$C$59=1,TRUNC(($A97*0.9-AP97)/$P$90*2000*PI()*0.8,0),IF(Data!$C$59=2,TRUNC(($A97*0.8-(AP97+0.1))/$P$90*2000*PI()*0.8,0),""))</f>
        <v>586</v>
      </c>
      <c r="AV97" s="699"/>
      <c r="AW97" s="699"/>
      <c r="AX97" s="704">
        <f t="shared" ca="1" si="37"/>
        <v>2.3272791208791213</v>
      </c>
      <c r="AY97" s="707">
        <f t="shared" ca="1" si="38"/>
        <v>5983.2</v>
      </c>
      <c r="AZ97" s="707">
        <f t="shared" ca="1" si="39"/>
        <v>1994.4</v>
      </c>
      <c r="BA97" s="704">
        <f t="shared" ca="1" si="40"/>
        <v>1.017984</v>
      </c>
      <c r="BB97" s="699">
        <f ca="1">IF(Data!$C$59=1,TRUNC(($A31*0.9-BA97)/$P$92*2000*PI()*0.8,0),IF(Data!$C$59=2,TRUNC(($A31*0.8-(BA97+0.1))/$P$92*2000*PI()*0.8,0),""))</f>
        <v>270</v>
      </c>
      <c r="BC97" s="699"/>
      <c r="BD97" s="704">
        <f t="shared" ca="1" si="41"/>
        <v>2.3272791208791213</v>
      </c>
      <c r="BE97" s="707">
        <f t="shared" ca="1" si="42"/>
        <v>5983.2</v>
      </c>
      <c r="BF97" s="707">
        <f t="shared" ca="1" si="50"/>
        <v>997.2</v>
      </c>
      <c r="BG97" s="699">
        <f t="shared" ca="1" si="43"/>
        <v>0.67865599999999993</v>
      </c>
      <c r="BH97" s="699">
        <f ca="1">IF(Data!$C$59=1,TRUNC(($A31*0.9-BG97)/$P$91*2000*PI()*0.8,0),IF(Data!$C$59=2,TRUNC(($A31*0.8-(BG97+0.1))/$P$91*2000*PI()*0.8,0),""))</f>
        <v>711</v>
      </c>
      <c r="BI97" s="699"/>
      <c r="BJ97" s="704">
        <f t="shared" ca="1" si="44"/>
        <v>2.3272791208791213</v>
      </c>
      <c r="BK97" s="707">
        <f t="shared" ca="1" si="45"/>
        <v>5983.2</v>
      </c>
      <c r="BL97" s="707">
        <f t="shared" ca="1" si="46"/>
        <v>498.6</v>
      </c>
      <c r="BM97" s="699">
        <f t="shared" ca="1" si="47"/>
        <v>0.33932799999999996</v>
      </c>
      <c r="BN97" s="699">
        <f ca="1">IF(Data!$C$59=1,TRUNC(($A31*0.9-BM97)/$P$90*2000*PI()*0.8,0),IF(Data!$C$59=2,TRUNC(($A31*0.8-(BM97+0.1))/$P$90*2000*PI()*0.8,0),""))</f>
        <v>1764</v>
      </c>
      <c r="BO97" s="699"/>
      <c r="BP97" s="699"/>
      <c r="BQ97" s="699"/>
      <c r="BR97" s="699"/>
      <c r="BS97" s="699"/>
      <c r="BT97" s="699"/>
      <c r="BU97" s="699"/>
      <c r="BV97" s="699"/>
      <c r="BW97" s="699"/>
      <c r="BX97" s="699"/>
      <c r="BY97" s="699"/>
      <c r="BZ97" s="699"/>
      <c r="CA97" s="699"/>
      <c r="CB97" s="699"/>
    </row>
    <row r="98" spans="1:80">
      <c r="A98" s="586">
        <f t="shared" ca="1" si="48"/>
        <v>0.83544000000000007</v>
      </c>
      <c r="B98" s="655">
        <f ca="1">0.24*$B$84</f>
        <v>1920</v>
      </c>
      <c r="C98" s="586">
        <f t="shared" ca="1" si="49"/>
        <v>-1.5999999999999969E-5</v>
      </c>
      <c r="D98" s="586">
        <f t="shared" ca="1" si="18"/>
        <v>0.83544000000000007</v>
      </c>
      <c r="N98" s="652" t="s">
        <v>22</v>
      </c>
      <c r="O98" s="620">
        <f t="shared" si="51"/>
        <v>1000</v>
      </c>
      <c r="U98" s="707">
        <f t="shared" ca="1" si="21"/>
        <v>640</v>
      </c>
      <c r="V98" s="707">
        <f t="shared" ca="1" si="22"/>
        <v>1920</v>
      </c>
      <c r="W98" s="704">
        <f t="shared" ca="1" si="23"/>
        <v>0.53039999999999998</v>
      </c>
      <c r="X98" s="704">
        <f t="shared" ca="1" si="24"/>
        <v>0.53039999999999998</v>
      </c>
      <c r="Y98" s="704">
        <f t="shared" ca="1" si="25"/>
        <v>0.58933333333333326</v>
      </c>
      <c r="Z98" s="704">
        <f ca="1">IF(Data!$E$83=1,Data!$L$117+Data!$F$59+X98/Data!$L$116/Data!$E$59/Data!$L$115,Data!$E$90+Data!$F$59+X98/Data!$G$90/Data!$E$59/Data!$D$90)</f>
        <v>0.58933333333333326</v>
      </c>
      <c r="AA98" s="705">
        <f t="shared" ca="1" si="26"/>
        <v>0.83544000000000007</v>
      </c>
      <c r="AB98" s="699">
        <f ca="1">IF(Data!$C$59=1,TRUNC(($A98*0.9-W98)/$P$92*2000*PI()*0.8,0),IF(Data!$C$59=2,TRUNC(($A98*0.8-(W98+0.1))/$P$92*2000*PI()*0.8,0),""))</f>
        <v>55</v>
      </c>
      <c r="AC98" s="699"/>
      <c r="AD98" s="706"/>
      <c r="AE98" s="707">
        <f t="shared" ca="1" si="27"/>
        <v>320</v>
      </c>
      <c r="AF98" s="707">
        <f t="shared" ca="1" si="28"/>
        <v>1920</v>
      </c>
      <c r="AG98" s="704">
        <f t="shared" ca="1" si="29"/>
        <v>0.35360000000000003</v>
      </c>
      <c r="AH98" s="704">
        <f t="shared" ca="1" si="16"/>
        <v>0.35360000000000003</v>
      </c>
      <c r="AI98" s="705">
        <f t="shared" ca="1" si="30"/>
        <v>0.3928888888888889</v>
      </c>
      <c r="AJ98" s="704">
        <f ca="1">IF(Data!$E$83=1,Data!$L$117+Data!$F$59+AH98/Data!$L$116/Data!$E$59/Data!$L$115,Data!$E$90+Data!$F$59+AH98/Data!$G$90/Data!$E$59/Data!$D$90)</f>
        <v>0.3928888888888889</v>
      </c>
      <c r="AK98" s="704">
        <f t="shared" ca="1" si="31"/>
        <v>0.83544000000000007</v>
      </c>
      <c r="AL98" s="699">
        <f ca="1">IF(Data!$C$59=1,TRUNC(($A98*0.9-AG98)/$P$91*2000*PI()*0.8,0),IF(Data!$C$59=2,TRUNC(($A98*0.8-(AG98+0.1))/$P$91*2000*PI()*0.8,0),""))</f>
        <v>200</v>
      </c>
      <c r="AM98" s="706"/>
      <c r="AN98" s="707">
        <f t="shared" ca="1" si="32"/>
        <v>160</v>
      </c>
      <c r="AO98" s="707">
        <f t="shared" ca="1" si="33"/>
        <v>1920</v>
      </c>
      <c r="AP98" s="704">
        <f t="shared" ca="1" si="34"/>
        <v>0.17680000000000001</v>
      </c>
      <c r="AQ98" s="704">
        <f t="shared" ca="1" si="17"/>
        <v>0.17680000000000001</v>
      </c>
      <c r="AR98" s="704">
        <f t="shared" ca="1" si="35"/>
        <v>0.19644444444444445</v>
      </c>
      <c r="AS98" s="704">
        <f ca="1">IF(Data!$E$83=1,Data!$L$117+Data!$F$59+AQ98/Data!$L$116/Data!$E$59/Data!$L$115,Data!$E$90+Data!$F$59+AQ98/Data!$G$90/Data!$E$59/Data!$D$90)</f>
        <v>0.19644444444444445</v>
      </c>
      <c r="AT98" s="704">
        <f t="shared" ca="1" si="36"/>
        <v>0.83544000000000007</v>
      </c>
      <c r="AU98" s="699">
        <f ca="1">IF(Data!$C$59=1,TRUNC(($A98*0.9-AP98)/$P$90*2000*PI()*0.8,0),IF(Data!$C$59=2,TRUNC(($A98*0.8-(AP98+0.1))/$P$90*2000*PI()*0.8,0),""))</f>
        <v>578</v>
      </c>
      <c r="AV98" s="699"/>
      <c r="AW98" s="699"/>
      <c r="AX98" s="704">
        <f t="shared" ca="1" si="37"/>
        <v>2.2807268571428576</v>
      </c>
      <c r="AY98" s="707">
        <f t="shared" ca="1" si="38"/>
        <v>6075.6</v>
      </c>
      <c r="AZ98" s="707">
        <f t="shared" ca="1" si="39"/>
        <v>2025.2</v>
      </c>
      <c r="BA98" s="704">
        <f t="shared" ca="1" si="40"/>
        <v>1.029072</v>
      </c>
      <c r="BB98" s="699">
        <f ca="1">IF(Data!$C$59=1,TRUNC(($A32*0.9-BA98)/$P$92*2000*PI()*0.8,0),IF(Data!$C$59=2,TRUNC(($A32*0.8-(BA98+0.1))/$P$92*2000*PI()*0.8,0),""))</f>
        <v>257</v>
      </c>
      <c r="BC98" s="699"/>
      <c r="BD98" s="704">
        <f t="shared" ca="1" si="41"/>
        <v>2.2807268571428576</v>
      </c>
      <c r="BE98" s="707">
        <f t="shared" ca="1" si="42"/>
        <v>6075.6</v>
      </c>
      <c r="BF98" s="707">
        <f t="shared" ca="1" si="50"/>
        <v>1012.6</v>
      </c>
      <c r="BG98" s="699">
        <f t="shared" ca="1" si="43"/>
        <v>0.68604799999999999</v>
      </c>
      <c r="BH98" s="699">
        <f ca="1">IF(Data!$C$59=1,TRUNC(($A32*0.9-BG98)/$P$91*2000*PI()*0.8,0),IF(Data!$C$59=2,TRUNC(($A32*0.8-(BG98+0.1))/$P$91*2000*PI()*0.8,0),""))</f>
        <v>686</v>
      </c>
      <c r="BI98" s="699"/>
      <c r="BJ98" s="704">
        <f t="shared" ca="1" si="44"/>
        <v>2.2807268571428576</v>
      </c>
      <c r="BK98" s="707">
        <f t="shared" ca="1" si="45"/>
        <v>6075.6</v>
      </c>
      <c r="BL98" s="707">
        <f t="shared" ca="1" si="46"/>
        <v>506.3</v>
      </c>
      <c r="BM98" s="699">
        <f t="shared" ca="1" si="47"/>
        <v>0.343024</v>
      </c>
      <c r="BN98" s="699">
        <f ca="1">IF(Data!$C$59=1,TRUNC(($A32*0.9-BM98)/$P$90*2000*PI()*0.8,0),IF(Data!$C$59=2,TRUNC(($A32*0.8-(BM98+0.1))/$P$90*2000*PI()*0.8,0),""))</f>
        <v>1718</v>
      </c>
      <c r="BO98" s="699"/>
      <c r="BP98" s="699"/>
      <c r="BQ98" s="699"/>
      <c r="BR98" s="699"/>
      <c r="BS98" s="699"/>
      <c r="BT98" s="699"/>
      <c r="BU98" s="699"/>
      <c r="BV98" s="699"/>
      <c r="BW98" s="699"/>
      <c r="BX98" s="699"/>
      <c r="BY98" s="699"/>
      <c r="BZ98" s="699"/>
      <c r="CA98" s="699"/>
      <c r="CB98" s="699"/>
    </row>
    <row r="99" spans="1:80">
      <c r="A99" s="586">
        <f t="shared" ca="1" si="48"/>
        <v>0.83288000000000006</v>
      </c>
      <c r="B99" s="655">
        <f ca="1">0.26*$B$84</f>
        <v>2080</v>
      </c>
      <c r="C99" s="586">
        <f t="shared" ca="1" si="49"/>
        <v>-1.5999999999999969E-5</v>
      </c>
      <c r="D99" s="586">
        <f t="shared" ca="1" si="18"/>
        <v>0.83288000000000006</v>
      </c>
      <c r="N99" s="652" t="s">
        <v>23</v>
      </c>
      <c r="O99" s="657">
        <f t="shared" si="51"/>
        <v>416.66666666666663</v>
      </c>
      <c r="P99" s="1056" t="s">
        <v>1827</v>
      </c>
      <c r="Q99" s="1057"/>
      <c r="S99" s="652" t="s">
        <v>1823</v>
      </c>
      <c r="T99" s="652">
        <v>0</v>
      </c>
      <c r="U99" s="707">
        <f t="shared" ca="1" si="21"/>
        <v>693.33333333333326</v>
      </c>
      <c r="V99" s="707">
        <f t="shared" ca="1" si="22"/>
        <v>2080</v>
      </c>
      <c r="W99" s="704">
        <f t="shared" ca="1" si="23"/>
        <v>0.54959999999999998</v>
      </c>
      <c r="X99" s="704">
        <f t="shared" ca="1" si="24"/>
        <v>0.54959999999999998</v>
      </c>
      <c r="Y99" s="704">
        <f t="shared" ca="1" si="25"/>
        <v>0.61066666666666658</v>
      </c>
      <c r="Z99" s="704">
        <f ca="1">IF(Data!$E$83=1,Data!$L$117+Data!$F$59+X99/Data!$L$116/Data!$E$59/Data!$L$115,Data!$E$90+Data!$F$59+X99/Data!$G$90/Data!$E$59/Data!$D$90)</f>
        <v>0.61066666666666658</v>
      </c>
      <c r="AA99" s="705">
        <f t="shared" ca="1" si="26"/>
        <v>0.83288000000000006</v>
      </c>
      <c r="AB99" s="699">
        <f ca="1">IF(Data!$C$59=1,TRUNC(($A99*0.9-W99)/$P$92*2000*PI()*0.8,0),IF(Data!$C$59=2,TRUNC(($A99*0.8-(W99+0.1))/$P$92*2000*PI()*0.8,0),""))</f>
        <v>50</v>
      </c>
      <c r="AC99" s="699"/>
      <c r="AD99" s="706"/>
      <c r="AE99" s="707">
        <f t="shared" ca="1" si="27"/>
        <v>346.66666666666663</v>
      </c>
      <c r="AF99" s="707">
        <f t="shared" ca="1" si="28"/>
        <v>2080</v>
      </c>
      <c r="AG99" s="704">
        <f t="shared" ca="1" si="29"/>
        <v>0.3664</v>
      </c>
      <c r="AH99" s="704">
        <f t="shared" ca="1" si="16"/>
        <v>0.3664</v>
      </c>
      <c r="AI99" s="705">
        <f t="shared" ca="1" si="30"/>
        <v>0.40711111111111109</v>
      </c>
      <c r="AJ99" s="704">
        <f ca="1">IF(Data!$E$83=1,Data!$L$117+Data!$F$59+AH99/Data!$L$116/Data!$E$59/Data!$L$115,Data!$E$90+Data!$F$59+AH99/Data!$G$90/Data!$E$59/Data!$D$90)</f>
        <v>0.40711111111111109</v>
      </c>
      <c r="AK99" s="704">
        <f t="shared" ca="1" si="31"/>
        <v>0.83288000000000006</v>
      </c>
      <c r="AL99" s="699">
        <f ca="1">IF(Data!$C$59=1,TRUNC(($A99*0.9-AG99)/$P$91*2000*PI()*0.8,0),IF(Data!$C$59=2,TRUNC(($A99*0.8-(AG99+0.1))/$P$91*2000*PI()*0.8,0),""))</f>
        <v>192</v>
      </c>
      <c r="AM99" s="706"/>
      <c r="AN99" s="707">
        <f t="shared" ca="1" si="32"/>
        <v>173.33333333333331</v>
      </c>
      <c r="AO99" s="707">
        <f t="shared" ca="1" si="33"/>
        <v>2080</v>
      </c>
      <c r="AP99" s="704">
        <f t="shared" ca="1" si="34"/>
        <v>0.1832</v>
      </c>
      <c r="AQ99" s="704">
        <f t="shared" ca="1" si="17"/>
        <v>0.1832</v>
      </c>
      <c r="AR99" s="704">
        <f t="shared" ca="1" si="35"/>
        <v>0.20355555555555555</v>
      </c>
      <c r="AS99" s="704">
        <f ca="1">IF(Data!$E$83=1,Data!$L$117+Data!$F$59+AQ99/Data!$L$116/Data!$E$59/Data!$L$115,Data!$E$90+Data!$F$59+AQ99/Data!$G$90/Data!$E$59/Data!$D$90)</f>
        <v>0.20355555555555555</v>
      </c>
      <c r="AT99" s="704">
        <f t="shared" ca="1" si="36"/>
        <v>0.83288000000000006</v>
      </c>
      <c r="AU99" s="699">
        <f ca="1">IF(Data!$C$59=1,TRUNC(($A99*0.9-AP99)/$P$90*2000*PI()*0.8,0),IF(Data!$C$59=2,TRUNC(($A99*0.8-(AP99+0.1))/$P$90*2000*PI()*0.8,0),""))</f>
        <v>569</v>
      </c>
      <c r="AV99" s="699"/>
      <c r="AW99" s="699"/>
      <c r="AX99" s="704">
        <f t="shared" ca="1" si="37"/>
        <v>2.2335781978021974</v>
      </c>
      <c r="AY99" s="707">
        <f t="shared" ca="1" si="38"/>
        <v>6169.7</v>
      </c>
      <c r="AZ99" s="707">
        <f t="shared" ca="1" si="39"/>
        <v>2056.5666666666666</v>
      </c>
      <c r="BA99" s="704">
        <f t="shared" ca="1" si="40"/>
        <v>1.0403640000000001</v>
      </c>
      <c r="BB99" s="699">
        <f ca="1">IF(Data!$C$59=1,TRUNC(($A33*0.9-BA99)/$P$92*2000*PI()*0.8,0),IF(Data!$C$59=2,TRUNC(($A33*0.8-(BA99+0.1))/$P$92*2000*PI()*0.8,0),""))</f>
        <v>243</v>
      </c>
      <c r="BC99" s="699"/>
      <c r="BD99" s="704">
        <f t="shared" ca="1" si="41"/>
        <v>2.2335781978021974</v>
      </c>
      <c r="BE99" s="707">
        <f t="shared" ca="1" si="42"/>
        <v>6169.7</v>
      </c>
      <c r="BF99" s="707">
        <f t="shared" ca="1" si="50"/>
        <v>1028.2833333333333</v>
      </c>
      <c r="BG99" s="699">
        <f t="shared" ca="1" si="43"/>
        <v>0.69357599999999997</v>
      </c>
      <c r="BH99" s="699">
        <f ca="1">IF(Data!$C$59=1,TRUNC(($A33*0.9-BG99)/$P$91*2000*PI()*0.8,0),IF(Data!$C$59=2,TRUNC(($A33*0.8-(BG99+0.1))/$P$91*2000*PI()*0.8,0),""))</f>
        <v>661</v>
      </c>
      <c r="BI99" s="699"/>
      <c r="BJ99" s="704">
        <f t="shared" ca="1" si="44"/>
        <v>2.2335781978021974</v>
      </c>
      <c r="BK99" s="707">
        <f t="shared" ca="1" si="45"/>
        <v>6169.7</v>
      </c>
      <c r="BL99" s="707">
        <f t="shared" ca="1" si="46"/>
        <v>514.14166666666665</v>
      </c>
      <c r="BM99" s="699">
        <f t="shared" ca="1" si="47"/>
        <v>0.34678799999999999</v>
      </c>
      <c r="BN99" s="699">
        <f ca="1">IF(Data!$C$59=1,TRUNC(($A33*0.9-BM99)/$P$90*2000*PI()*0.8,0),IF(Data!$C$59=2,TRUNC(($A33*0.8-(BM99+0.1))/$P$90*2000*PI()*0.8,0),""))</f>
        <v>1672</v>
      </c>
      <c r="BO99" s="699"/>
      <c r="BP99" s="699"/>
      <c r="BQ99" s="699"/>
      <c r="BR99" s="699"/>
      <c r="BS99" s="699"/>
      <c r="BT99" s="699"/>
      <c r="BU99" s="699"/>
      <c r="BV99" s="699"/>
      <c r="BW99" s="699"/>
      <c r="BX99" s="699"/>
      <c r="BY99" s="699"/>
      <c r="BZ99" s="699"/>
      <c r="CA99" s="699"/>
      <c r="CB99" s="699"/>
    </row>
    <row r="100" spans="1:80">
      <c r="A100" s="586">
        <f t="shared" ca="1" si="48"/>
        <v>0.83032000000000006</v>
      </c>
      <c r="B100" s="655">
        <f ca="1">0.28*$B$84</f>
        <v>2240</v>
      </c>
      <c r="C100" s="586">
        <f t="shared" ca="1" si="49"/>
        <v>-1.5999999999999969E-5</v>
      </c>
      <c r="D100" s="586">
        <f t="shared" ca="1" si="18"/>
        <v>0.83032000000000006</v>
      </c>
      <c r="N100" s="652" t="s">
        <v>24</v>
      </c>
      <c r="O100" s="657">
        <f t="shared" si="51"/>
        <v>833.33333333333326</v>
      </c>
      <c r="P100" s="658" t="s">
        <v>1828</v>
      </c>
      <c r="Q100" s="659">
        <f ca="1">A86</f>
        <v>0.87</v>
      </c>
      <c r="U100" s="707">
        <f t="shared" ca="1" si="21"/>
        <v>746.66666666666674</v>
      </c>
      <c r="V100" s="707">
        <f t="shared" ca="1" si="22"/>
        <v>2240</v>
      </c>
      <c r="W100" s="704">
        <f t="shared" ca="1" si="23"/>
        <v>0.56879999999999997</v>
      </c>
      <c r="X100" s="704">
        <f t="shared" ca="1" si="24"/>
        <v>0.56879999999999997</v>
      </c>
      <c r="Y100" s="704">
        <f t="shared" ca="1" si="25"/>
        <v>0.63200000000000001</v>
      </c>
      <c r="Z100" s="704">
        <f ca="1">IF(Data!$E$83=1,Data!$L$117+Data!$F$59+X100/Data!$L$116/Data!$E$59/Data!$L$115,Data!$E$90+Data!$F$59+X100/Data!$G$90/Data!$E$59/Data!$D$90)</f>
        <v>0.63200000000000001</v>
      </c>
      <c r="AA100" s="705">
        <f t="shared" ca="1" si="26"/>
        <v>0.83032000000000006</v>
      </c>
      <c r="AB100" s="699">
        <f ca="1">IF(Data!$C$59=1,TRUNC(($A100*0.9-W100)/$P$92*2000*PI()*0.8,0),IF(Data!$C$59=2,TRUNC(($A100*0.8-(W100+0.1))/$P$92*2000*PI()*0.8,0),""))</f>
        <v>44</v>
      </c>
      <c r="AC100" s="699"/>
      <c r="AD100" s="706"/>
      <c r="AE100" s="707">
        <f t="shared" ca="1" si="27"/>
        <v>373.33333333333337</v>
      </c>
      <c r="AF100" s="707">
        <f t="shared" ca="1" si="28"/>
        <v>2240</v>
      </c>
      <c r="AG100" s="704">
        <f t="shared" ca="1" si="29"/>
        <v>0.37920000000000004</v>
      </c>
      <c r="AH100" s="704">
        <f t="shared" ca="1" si="16"/>
        <v>0.37920000000000004</v>
      </c>
      <c r="AI100" s="705">
        <f t="shared" ca="1" si="30"/>
        <v>0.42133333333333334</v>
      </c>
      <c r="AJ100" s="704">
        <f ca="1">IF(Data!$E$83=1,Data!$L$117+Data!$F$59+AH100/Data!$L$116/Data!$E$59/Data!$L$115,Data!$E$90+Data!$F$59+AH100/Data!$G$90/Data!$E$59/Data!$D$90)</f>
        <v>0.42133333333333334</v>
      </c>
      <c r="AK100" s="704">
        <f t="shared" ca="1" si="31"/>
        <v>0.83032000000000006</v>
      </c>
      <c r="AL100" s="699">
        <f ca="1">IF(Data!$C$59=1,TRUNC(($A100*0.9-AG100)/$P$91*2000*PI()*0.8,0),IF(Data!$C$59=2,TRUNC(($A100*0.8-(AG100+0.1))/$P$91*2000*PI()*0.8,0),""))</f>
        <v>185</v>
      </c>
      <c r="AM100" s="706"/>
      <c r="AN100" s="707">
        <f t="shared" ca="1" si="32"/>
        <v>186.66666666666669</v>
      </c>
      <c r="AO100" s="707">
        <f t="shared" ca="1" si="33"/>
        <v>2240</v>
      </c>
      <c r="AP100" s="704">
        <f t="shared" ca="1" si="34"/>
        <v>0.18960000000000002</v>
      </c>
      <c r="AQ100" s="704">
        <f t="shared" ca="1" si="17"/>
        <v>0.18960000000000002</v>
      </c>
      <c r="AR100" s="704">
        <f t="shared" ca="1" si="35"/>
        <v>0.21066666666666667</v>
      </c>
      <c r="AS100" s="704">
        <f ca="1">IF(Data!$E$83=1,Data!$L$117+Data!$F$59+AQ100/Data!$L$116/Data!$E$59/Data!$L$115,Data!$E$90+Data!$F$59+AQ100/Data!$G$90/Data!$E$59/Data!$D$90)</f>
        <v>0.21066666666666667</v>
      </c>
      <c r="AT100" s="704">
        <f t="shared" ca="1" si="36"/>
        <v>0.83032000000000006</v>
      </c>
      <c r="AU100" s="699">
        <f ca="1">IF(Data!$C$59=1,TRUNC(($A100*0.9-AP100)/$P$90*2000*PI()*0.8,0),IF(Data!$C$59=2,TRUNC(($A100*0.8-(AP100+0.1))/$P$90*2000*PI()*0.8,0),""))</f>
        <v>560</v>
      </c>
      <c r="AV100" s="699"/>
      <c r="AW100" s="699"/>
      <c r="AX100" s="704">
        <f t="shared" ca="1" si="37"/>
        <v>2.1858331428571427</v>
      </c>
      <c r="AY100" s="707">
        <f t="shared" ca="1" si="38"/>
        <v>6265.5</v>
      </c>
      <c r="AZ100" s="707">
        <f t="shared" ca="1" si="39"/>
        <v>2088.5</v>
      </c>
      <c r="BA100" s="704">
        <f t="shared" ca="1" si="40"/>
        <v>1.05186</v>
      </c>
      <c r="BB100" s="699">
        <f ca="1">IF(Data!$C$59=1,TRUNC(($A34*0.9-BA100)/$P$92*2000*PI()*0.8,0),IF(Data!$C$59=2,TRUNC(($A34*0.8-(BA100+0.1))/$P$92*2000*PI()*0.8,0),""))</f>
        <v>230</v>
      </c>
      <c r="BC100" s="699"/>
      <c r="BD100" s="704">
        <f t="shared" ca="1" si="41"/>
        <v>2.1858331428571427</v>
      </c>
      <c r="BE100" s="707">
        <f t="shared" ca="1" si="42"/>
        <v>6265.5</v>
      </c>
      <c r="BF100" s="707">
        <f t="shared" ca="1" si="50"/>
        <v>1044.25</v>
      </c>
      <c r="BG100" s="699">
        <f t="shared" ca="1" si="43"/>
        <v>0.70124000000000009</v>
      </c>
      <c r="BH100" s="699">
        <f ca="1">IF(Data!$C$59=1,TRUNC(($A34*0.9-BG100)/$P$91*2000*PI()*0.8,0),IF(Data!$C$59=2,TRUNC(($A34*0.8-(BG100+0.1))/$P$91*2000*PI()*0.8,0),""))</f>
        <v>636</v>
      </c>
      <c r="BI100" s="699"/>
      <c r="BJ100" s="704">
        <f t="shared" ca="1" si="44"/>
        <v>2.1858331428571427</v>
      </c>
      <c r="BK100" s="707">
        <f t="shared" ca="1" si="45"/>
        <v>6265.5</v>
      </c>
      <c r="BL100" s="707">
        <f t="shared" ca="1" si="46"/>
        <v>522.125</v>
      </c>
      <c r="BM100" s="699">
        <f t="shared" ca="1" si="47"/>
        <v>0.35062000000000004</v>
      </c>
      <c r="BN100" s="699">
        <f ca="1">IF(Data!$C$59=1,TRUNC(($A34*0.9-BM100)/$P$90*2000*PI()*0.8,0),IF(Data!$C$59=2,TRUNC(($A34*0.8-(BM100+0.1))/$P$90*2000*PI()*0.8,0),""))</f>
        <v>1625</v>
      </c>
      <c r="BO100" s="699"/>
      <c r="BP100" s="699"/>
      <c r="BQ100" s="699"/>
      <c r="BR100" s="699"/>
      <c r="BS100" s="699"/>
      <c r="BT100" s="699"/>
      <c r="BU100" s="699"/>
      <c r="BV100" s="699"/>
      <c r="BW100" s="699"/>
      <c r="BX100" s="699"/>
      <c r="BY100" s="699"/>
      <c r="BZ100" s="699"/>
      <c r="CA100" s="699"/>
      <c r="CB100" s="699"/>
    </row>
    <row r="101" spans="1:80">
      <c r="A101" s="586">
        <f t="shared" ca="1" si="48"/>
        <v>0.82776000000000005</v>
      </c>
      <c r="B101" s="655">
        <f ca="1">0.3*$B$84</f>
        <v>2400</v>
      </c>
      <c r="C101" s="586">
        <f t="shared" ca="1" si="49"/>
        <v>-1.5999999999999969E-5</v>
      </c>
      <c r="D101" s="586">
        <f t="shared" ca="1" si="18"/>
        <v>0.82776000000000005</v>
      </c>
      <c r="N101" s="652" t="s">
        <v>25</v>
      </c>
      <c r="O101" s="657">
        <f t="shared" si="51"/>
        <v>1666.6666666666665</v>
      </c>
      <c r="P101" s="660" t="s">
        <v>1829</v>
      </c>
      <c r="Q101" s="661">
        <f ca="1">B136</f>
        <v>8000</v>
      </c>
      <c r="U101" s="707">
        <f t="shared" ca="1" si="21"/>
        <v>800</v>
      </c>
      <c r="V101" s="707">
        <f t="shared" ca="1" si="22"/>
        <v>2400</v>
      </c>
      <c r="W101" s="704">
        <f t="shared" ca="1" si="23"/>
        <v>0.58799999999999997</v>
      </c>
      <c r="X101" s="704">
        <f t="shared" ca="1" si="24"/>
        <v>0.58799999999999997</v>
      </c>
      <c r="Y101" s="704">
        <f t="shared" ca="1" si="25"/>
        <v>0.65333333333333332</v>
      </c>
      <c r="Z101" s="704">
        <f ca="1">IF(Data!$E$83=1,Data!$L$117+Data!$F$59+X101/Data!$L$116/Data!$E$59/Data!$L$115,Data!$E$90+Data!$F$59+X101/Data!$G$90/Data!$E$59/Data!$D$90)</f>
        <v>0.65333333333333332</v>
      </c>
      <c r="AA101" s="705">
        <f t="shared" ca="1" si="26"/>
        <v>0.82776000000000005</v>
      </c>
      <c r="AB101" s="699">
        <f ca="1">IF(Data!$C$59=1,TRUNC(($A101*0.9-W101)/$P$92*2000*PI()*0.8,0),IF(Data!$C$59=2,TRUNC(($A101*0.8-(W101+0.1))/$P$92*2000*PI()*0.8,0),""))</f>
        <v>39</v>
      </c>
      <c r="AC101" s="699"/>
      <c r="AD101" s="706"/>
      <c r="AE101" s="707">
        <f t="shared" ca="1" si="27"/>
        <v>400</v>
      </c>
      <c r="AF101" s="707">
        <f t="shared" ca="1" si="28"/>
        <v>2400</v>
      </c>
      <c r="AG101" s="704">
        <f t="shared" ca="1" si="29"/>
        <v>0.39200000000000002</v>
      </c>
      <c r="AH101" s="704">
        <f t="shared" ca="1" si="16"/>
        <v>0.39200000000000002</v>
      </c>
      <c r="AI101" s="705">
        <f t="shared" ca="1" si="30"/>
        <v>0.43555555555555558</v>
      </c>
      <c r="AJ101" s="704">
        <f ca="1">IF(Data!$E$83=1,Data!$L$117+Data!$F$59+AH101/Data!$L$116/Data!$E$59/Data!$L$115,Data!$E$90+Data!$F$59+AH101/Data!$G$90/Data!$E$59/Data!$D$90)</f>
        <v>0.43555555555555558</v>
      </c>
      <c r="AK101" s="704">
        <f t="shared" ca="1" si="31"/>
        <v>0.82776000000000005</v>
      </c>
      <c r="AL101" s="699">
        <f ca="1">IF(Data!$C$59=1,TRUNC(($A101*0.9-AG101)/$P$91*2000*PI()*0.8,0),IF(Data!$C$59=2,TRUNC(($A101*0.8-(AG101+0.1))/$P$91*2000*PI()*0.8,0),""))</f>
        <v>177</v>
      </c>
      <c r="AM101" s="706"/>
      <c r="AN101" s="707">
        <f t="shared" ca="1" si="32"/>
        <v>200</v>
      </c>
      <c r="AO101" s="707">
        <f t="shared" ca="1" si="33"/>
        <v>2400</v>
      </c>
      <c r="AP101" s="704">
        <f t="shared" ca="1" si="34"/>
        <v>0.19600000000000001</v>
      </c>
      <c r="AQ101" s="704">
        <f t="shared" ca="1" si="17"/>
        <v>0.19600000000000001</v>
      </c>
      <c r="AR101" s="704">
        <f t="shared" ca="1" si="35"/>
        <v>0.21777777777777779</v>
      </c>
      <c r="AS101" s="704">
        <f ca="1">IF(Data!$E$83=1,Data!$L$117+Data!$F$59+AQ101/Data!$L$116/Data!$E$59/Data!$L$115,Data!$E$90+Data!$F$59+AQ101/Data!$G$90/Data!$E$59/Data!$D$90)</f>
        <v>0.21777777777777779</v>
      </c>
      <c r="AT101" s="704">
        <f t="shared" ca="1" si="36"/>
        <v>0.82776000000000005</v>
      </c>
      <c r="AU101" s="699">
        <f ca="1">IF(Data!$C$59=1,TRUNC(($A101*0.9-AP101)/$P$90*2000*PI()*0.8,0),IF(Data!$C$59=2,TRUNC(($A101*0.8-(AP101+0.1))/$P$90*2000*PI()*0.8,0),""))</f>
        <v>551</v>
      </c>
      <c r="AV101" s="699"/>
      <c r="AW101" s="699"/>
      <c r="AX101" s="704">
        <f t="shared" ca="1" si="37"/>
        <v>2.1374916923076923</v>
      </c>
      <c r="AY101" s="707">
        <f t="shared" ca="1" si="38"/>
        <v>6362.9</v>
      </c>
      <c r="AZ101" s="707">
        <f t="shared" ca="1" si="39"/>
        <v>2120.9666666666667</v>
      </c>
      <c r="BA101" s="704">
        <f t="shared" ca="1" si="40"/>
        <v>1.0635479999999999</v>
      </c>
      <c r="BB101" s="699">
        <f ca="1">IF(Data!$C$59=1,TRUNC(($A35*0.9-BA101)/$P$92*2000*PI()*0.8,0),IF(Data!$C$59=2,TRUNC(($A35*0.8-(BA101+0.1))/$P$92*2000*PI()*0.8,0),""))</f>
        <v>216</v>
      </c>
      <c r="BC101" s="699"/>
      <c r="BD101" s="704">
        <f t="shared" ca="1" si="41"/>
        <v>2.1374916923076923</v>
      </c>
      <c r="BE101" s="707">
        <f t="shared" ca="1" si="42"/>
        <v>6362.9</v>
      </c>
      <c r="BF101" s="707">
        <f t="shared" ca="1" si="50"/>
        <v>1060.4833333333333</v>
      </c>
      <c r="BG101" s="699">
        <f t="shared" ca="1" si="43"/>
        <v>0.70903199999999988</v>
      </c>
      <c r="BH101" s="699">
        <f ca="1">IF(Data!$C$59=1,TRUNC(($A35*0.9-BG101)/$P$91*2000*PI()*0.8,0),IF(Data!$C$59=2,TRUNC(($A35*0.8-(BG101+0.1))/$P$91*2000*PI()*0.8,0),""))</f>
        <v>610</v>
      </c>
      <c r="BI101" s="699"/>
      <c r="BJ101" s="704">
        <f t="shared" ca="1" si="44"/>
        <v>2.1374916923076923</v>
      </c>
      <c r="BK101" s="707">
        <f t="shared" ca="1" si="45"/>
        <v>6362.9</v>
      </c>
      <c r="BL101" s="707">
        <f t="shared" ca="1" si="46"/>
        <v>530.24166666666667</v>
      </c>
      <c r="BM101" s="699">
        <f t="shared" ca="1" si="47"/>
        <v>0.35451599999999994</v>
      </c>
      <c r="BN101" s="699">
        <f ca="1">IF(Data!$C$59=1,TRUNC(($A35*0.9-BM101)/$P$90*2000*PI()*0.8,0),IF(Data!$C$59=2,TRUNC(($A35*0.8-(BM101+0.1))/$P$90*2000*PI()*0.8,0),""))</f>
        <v>1577</v>
      </c>
      <c r="BO101" s="699"/>
      <c r="BP101" s="699"/>
      <c r="BQ101" s="699"/>
      <c r="BR101" s="699"/>
      <c r="BS101" s="699"/>
      <c r="BT101" s="699"/>
      <c r="BU101" s="699"/>
      <c r="BV101" s="699"/>
      <c r="BW101" s="699"/>
      <c r="BX101" s="699"/>
      <c r="BY101" s="699"/>
      <c r="BZ101" s="699"/>
      <c r="CA101" s="699"/>
      <c r="CB101" s="699"/>
    </row>
    <row r="102" spans="1:80">
      <c r="A102" s="586">
        <f t="shared" ca="1" si="48"/>
        <v>0.82520000000000004</v>
      </c>
      <c r="B102" s="655">
        <f ca="1">0.32*$B$84</f>
        <v>2560</v>
      </c>
      <c r="C102" s="586">
        <f t="shared" ca="1" si="49"/>
        <v>-1.5999999999999969E-5</v>
      </c>
      <c r="D102" s="586">
        <f t="shared" ca="1" si="18"/>
        <v>0.82520000000000004</v>
      </c>
      <c r="P102" s="662" t="s">
        <v>375</v>
      </c>
      <c r="Q102" s="663">
        <f ca="1">C141</f>
        <v>320</v>
      </c>
      <c r="U102" s="707">
        <f t="shared" ca="1" si="21"/>
        <v>853.33333333333326</v>
      </c>
      <c r="V102" s="707">
        <f t="shared" ca="1" si="22"/>
        <v>2560</v>
      </c>
      <c r="W102" s="704">
        <f t="shared" ca="1" si="23"/>
        <v>0.60719999999999996</v>
      </c>
      <c r="X102" s="704">
        <f t="shared" ca="1" si="24"/>
        <v>0.60719999999999996</v>
      </c>
      <c r="Y102" s="704">
        <f t="shared" ca="1" si="25"/>
        <v>0.67466666666666664</v>
      </c>
      <c r="Z102" s="704">
        <f ca="1">IF(Data!$E$83=1,Data!$L$117+Data!$F$59+X102/Data!$L$116/Data!$E$59/Data!$L$115,Data!$E$90+Data!$F$59+X102/Data!$G$90/Data!$E$59/Data!$D$90)</f>
        <v>0.67466666666666664</v>
      </c>
      <c r="AA102" s="705">
        <f t="shared" ca="1" si="26"/>
        <v>0.82520000000000004</v>
      </c>
      <c r="AB102" s="699">
        <f ca="1">IF(Data!$C$59=1,TRUNC(($A102*0.9-W102)/$P$92*2000*PI()*0.8,0),IF(Data!$C$59=2,TRUNC(($A102*0.8-(W102+0.1))/$P$92*2000*PI()*0.8,0),""))</f>
        <v>34</v>
      </c>
      <c r="AC102" s="699"/>
      <c r="AD102" s="706"/>
      <c r="AE102" s="707">
        <f t="shared" ca="1" si="27"/>
        <v>426.66666666666663</v>
      </c>
      <c r="AF102" s="707">
        <f t="shared" ca="1" si="28"/>
        <v>2560</v>
      </c>
      <c r="AG102" s="704">
        <f t="shared" ca="1" si="29"/>
        <v>0.40480000000000005</v>
      </c>
      <c r="AH102" s="704">
        <f t="shared" ca="1" si="16"/>
        <v>0.40480000000000005</v>
      </c>
      <c r="AI102" s="705">
        <f t="shared" ca="1" si="30"/>
        <v>0.44977777777777783</v>
      </c>
      <c r="AJ102" s="704">
        <f ca="1">IF(Data!$E$83=1,Data!$L$117+Data!$F$59+AH102/Data!$L$116/Data!$E$59/Data!$L$115,Data!$E$90+Data!$F$59+AH102/Data!$G$90/Data!$E$59/Data!$D$90)</f>
        <v>0.44977777777777783</v>
      </c>
      <c r="AK102" s="704">
        <f t="shared" ca="1" si="31"/>
        <v>0.82520000000000004</v>
      </c>
      <c r="AL102" s="699">
        <f ca="1">IF(Data!$C$59=1,TRUNC(($A102*0.9-AG102)/$P$91*2000*PI()*0.8,0),IF(Data!$C$59=2,TRUNC(($A102*0.8-(AG102+0.1))/$P$91*2000*PI()*0.8,0),""))</f>
        <v>169</v>
      </c>
      <c r="AM102" s="706"/>
      <c r="AN102" s="707">
        <f t="shared" ca="1" si="32"/>
        <v>213.33333333333331</v>
      </c>
      <c r="AO102" s="707">
        <f t="shared" ca="1" si="33"/>
        <v>2560</v>
      </c>
      <c r="AP102" s="704">
        <f t="shared" ca="1" si="34"/>
        <v>0.20240000000000002</v>
      </c>
      <c r="AQ102" s="704">
        <f t="shared" ca="1" si="17"/>
        <v>0.20240000000000002</v>
      </c>
      <c r="AR102" s="704">
        <f t="shared" ca="1" si="35"/>
        <v>0.22488888888888892</v>
      </c>
      <c r="AS102" s="704">
        <f ca="1">IF(Data!$E$83=1,Data!$L$117+Data!$F$59+AQ102/Data!$L$116/Data!$E$59/Data!$L$115,Data!$E$90+Data!$F$59+AQ102/Data!$G$90/Data!$E$59/Data!$D$90)</f>
        <v>0.22488888888888892</v>
      </c>
      <c r="AT102" s="704">
        <f t="shared" ca="1" si="36"/>
        <v>0.82520000000000004</v>
      </c>
      <c r="AU102" s="699">
        <f ca="1">IF(Data!$C$59=1,TRUNC(($A102*0.9-AP102)/$P$90*2000*PI()*0.8,0),IF(Data!$C$59=2,TRUNC(($A102*0.8-(AP102+0.1))/$P$90*2000*PI()*0.8,0),""))</f>
        <v>543</v>
      </c>
      <c r="AV102" s="699"/>
      <c r="AW102" s="699"/>
      <c r="AX102" s="704">
        <f t="shared" ca="1" si="37"/>
        <v>2.0885538461538462</v>
      </c>
      <c r="AY102" s="707">
        <f t="shared" ca="1" si="38"/>
        <v>6461.9</v>
      </c>
      <c r="AZ102" s="707">
        <f t="shared" ca="1" si="39"/>
        <v>2153.9666666666662</v>
      </c>
      <c r="BA102" s="704">
        <f t="shared" ca="1" si="40"/>
        <v>1.0754279999999998</v>
      </c>
      <c r="BB102" s="699">
        <f ca="1">IF(Data!$C$59=1,TRUNC(($A36*0.9-BA102)/$P$92*2000*PI()*0.8,0),IF(Data!$C$59=2,TRUNC(($A36*0.8-(BA102+0.1))/$P$92*2000*PI()*0.8,0),""))</f>
        <v>202</v>
      </c>
      <c r="BC102" s="699"/>
      <c r="BD102" s="704">
        <f t="shared" ca="1" si="41"/>
        <v>2.0885538461538462</v>
      </c>
      <c r="BE102" s="707">
        <f t="shared" ca="1" si="42"/>
        <v>6461.9</v>
      </c>
      <c r="BF102" s="707">
        <f t="shared" ca="1" si="50"/>
        <v>1076.9833333333331</v>
      </c>
      <c r="BG102" s="699">
        <f t="shared" ca="1" si="43"/>
        <v>0.71695200000000003</v>
      </c>
      <c r="BH102" s="699">
        <f ca="1">IF(Data!$C$59=1,TRUNC(($A36*0.9-BG102)/$P$91*2000*PI()*0.8,0),IF(Data!$C$59=2,TRUNC(($A36*0.8-(BG102+0.1))/$P$91*2000*PI()*0.8,0),""))</f>
        <v>584</v>
      </c>
      <c r="BI102" s="699"/>
      <c r="BJ102" s="704">
        <f t="shared" ca="1" si="44"/>
        <v>2.0885538461538462</v>
      </c>
      <c r="BK102" s="707">
        <f t="shared" ca="1" si="45"/>
        <v>6461.9</v>
      </c>
      <c r="BL102" s="707">
        <f t="shared" ca="1" si="46"/>
        <v>538.49166666666656</v>
      </c>
      <c r="BM102" s="699">
        <f t="shared" ca="1" si="47"/>
        <v>0.35847600000000002</v>
      </c>
      <c r="BN102" s="699">
        <f ca="1">IF(Data!$C$59=1,TRUNC(($A36*0.9-BM102)/$P$90*2000*PI()*0.8,0),IF(Data!$C$59=2,TRUNC(($A36*0.8-(BM102+0.1))/$P$90*2000*PI()*0.8,0),""))</f>
        <v>1529</v>
      </c>
      <c r="BO102" s="699"/>
      <c r="BP102" s="699"/>
      <c r="BQ102" s="699"/>
      <c r="BR102" s="699"/>
      <c r="BS102" s="699"/>
      <c r="BT102" s="699"/>
      <c r="BU102" s="699"/>
      <c r="BV102" s="699"/>
      <c r="BW102" s="699"/>
      <c r="BX102" s="699"/>
      <c r="BY102" s="699"/>
      <c r="BZ102" s="699"/>
      <c r="CA102" s="699"/>
      <c r="CB102" s="699"/>
    </row>
    <row r="103" spans="1:80">
      <c r="A103" s="586">
        <f t="shared" ca="1" si="48"/>
        <v>0.82264000000000004</v>
      </c>
      <c r="B103" s="655">
        <f ca="1">0.34*$B$84</f>
        <v>2720</v>
      </c>
      <c r="C103" s="586">
        <f t="shared" ca="1" si="49"/>
        <v>-1.5999999999999969E-5</v>
      </c>
      <c r="D103" s="586">
        <f t="shared" ca="1" si="18"/>
        <v>0.82264000000000004</v>
      </c>
      <c r="U103" s="707">
        <f t="shared" ca="1" si="21"/>
        <v>906.66666666666674</v>
      </c>
      <c r="V103" s="707">
        <f t="shared" ca="1" si="22"/>
        <v>2720</v>
      </c>
      <c r="W103" s="704">
        <f t="shared" ca="1" si="23"/>
        <v>0.62640000000000007</v>
      </c>
      <c r="X103" s="704">
        <f t="shared" ca="1" si="24"/>
        <v>0.62640000000000007</v>
      </c>
      <c r="Y103" s="704">
        <f t="shared" ca="1" si="25"/>
        <v>0.69600000000000006</v>
      </c>
      <c r="Z103" s="704">
        <f ca="1">IF(Data!$E$83=1,Data!$L$117+Data!$F$59+X103/Data!$L$116/Data!$E$59/Data!$L$115,Data!$E$90+Data!$F$59+X103/Data!$G$90/Data!$E$59/Data!$D$90)</f>
        <v>0.69600000000000006</v>
      </c>
      <c r="AA103" s="705">
        <f t="shared" ca="1" si="26"/>
        <v>0.82264000000000004</v>
      </c>
      <c r="AB103" s="699">
        <f ca="1">IF(Data!$C$59=1,TRUNC(($A103*0.9-W103)/$P$92*2000*PI()*0.8,0),IF(Data!$C$59=2,TRUNC(($A103*0.8-(W103+0.1))/$P$92*2000*PI()*0.8,0),""))</f>
        <v>28</v>
      </c>
      <c r="AC103" s="699"/>
      <c r="AD103" s="706"/>
      <c r="AE103" s="707">
        <f t="shared" ca="1" si="27"/>
        <v>453.33333333333337</v>
      </c>
      <c r="AF103" s="707">
        <f t="shared" ca="1" si="28"/>
        <v>2720</v>
      </c>
      <c r="AG103" s="704">
        <f t="shared" ca="1" si="29"/>
        <v>0.41760000000000003</v>
      </c>
      <c r="AH103" s="704">
        <f t="shared" ca="1" si="16"/>
        <v>0.41760000000000003</v>
      </c>
      <c r="AI103" s="705">
        <f t="shared" ca="1" si="30"/>
        <v>0.46400000000000002</v>
      </c>
      <c r="AJ103" s="704">
        <f ca="1">IF(Data!$E$83=1,Data!$L$117+Data!$F$59+AH103/Data!$L$116/Data!$E$59/Data!$L$115,Data!$E$90+Data!$F$59+AH103/Data!$G$90/Data!$E$59/Data!$D$90)</f>
        <v>0.46400000000000002</v>
      </c>
      <c r="AK103" s="704">
        <f t="shared" ca="1" si="31"/>
        <v>0.82264000000000004</v>
      </c>
      <c r="AL103" s="699">
        <f ca="1">IF(Data!$C$59=1,TRUNC(($A103*0.9-AG103)/$P$91*2000*PI()*0.8,0),IF(Data!$C$59=2,TRUNC(($A103*0.8-(AG103+0.1))/$P$91*2000*PI()*0.8,0),""))</f>
        <v>162</v>
      </c>
      <c r="AM103" s="706"/>
      <c r="AN103" s="707">
        <f t="shared" ca="1" si="32"/>
        <v>226.66666666666669</v>
      </c>
      <c r="AO103" s="707">
        <f t="shared" ca="1" si="33"/>
        <v>2720</v>
      </c>
      <c r="AP103" s="704">
        <f t="shared" ca="1" si="34"/>
        <v>0.20880000000000001</v>
      </c>
      <c r="AQ103" s="704">
        <f t="shared" ca="1" si="17"/>
        <v>0.20880000000000001</v>
      </c>
      <c r="AR103" s="704">
        <f t="shared" ca="1" si="35"/>
        <v>0.23200000000000001</v>
      </c>
      <c r="AS103" s="704">
        <f ca="1">IF(Data!$E$83=1,Data!$L$117+Data!$F$59+AQ103/Data!$L$116/Data!$E$59/Data!$L$115,Data!$E$90+Data!$F$59+AQ103/Data!$G$90/Data!$E$59/Data!$D$90)</f>
        <v>0.23200000000000001</v>
      </c>
      <c r="AT103" s="704">
        <f t="shared" ca="1" si="36"/>
        <v>0.82264000000000004</v>
      </c>
      <c r="AU103" s="699">
        <f ca="1">IF(Data!$C$59=1,TRUNC(($A103*0.9-AP103)/$P$90*2000*PI()*0.8,0),IF(Data!$C$59=2,TRUNC(($A103*0.8-(AP103+0.1))/$P$90*2000*PI()*0.8,0),""))</f>
        <v>534</v>
      </c>
      <c r="AV103" s="699"/>
      <c r="AW103" s="699"/>
      <c r="AX103" s="704">
        <f t="shared" ca="1" si="37"/>
        <v>2.0390196043956044</v>
      </c>
      <c r="AY103" s="707">
        <f t="shared" ca="1" si="38"/>
        <v>6562.5</v>
      </c>
      <c r="AZ103" s="707">
        <f t="shared" ca="1" si="39"/>
        <v>2187.5</v>
      </c>
      <c r="BA103" s="704">
        <f t="shared" ca="1" si="40"/>
        <v>1.0874999999999999</v>
      </c>
      <c r="BB103" s="699">
        <f ca="1">IF(Data!$C$59=1,TRUNC(($A37*0.9-BA103)/$P$92*2000*PI()*0.8,0),IF(Data!$C$59=2,TRUNC(($A37*0.8-(BA103+0.1))/$P$92*2000*PI()*0.8,0),""))</f>
        <v>187</v>
      </c>
      <c r="BC103" s="699"/>
      <c r="BD103" s="704">
        <f t="shared" ca="1" si="41"/>
        <v>2.0390196043956044</v>
      </c>
      <c r="BE103" s="707">
        <f t="shared" ca="1" si="42"/>
        <v>6562.5</v>
      </c>
      <c r="BF103" s="707">
        <f t="shared" ca="1" si="50"/>
        <v>1093.75</v>
      </c>
      <c r="BG103" s="699">
        <f t="shared" ca="1" si="43"/>
        <v>0.72500000000000009</v>
      </c>
      <c r="BH103" s="699">
        <f ca="1">IF(Data!$C$59=1,TRUNC(($A37*0.9-BG103)/$P$91*2000*PI()*0.8,0),IF(Data!$C$59=2,TRUNC(($A37*0.8-(BG103+0.1))/$P$91*2000*PI()*0.8,0),""))</f>
        <v>558</v>
      </c>
      <c r="BI103" s="699"/>
      <c r="BJ103" s="704">
        <f t="shared" ca="1" si="44"/>
        <v>2.0390196043956044</v>
      </c>
      <c r="BK103" s="707">
        <f t="shared" ca="1" si="45"/>
        <v>6562.5</v>
      </c>
      <c r="BL103" s="707">
        <f t="shared" ca="1" si="46"/>
        <v>546.875</v>
      </c>
      <c r="BM103" s="699">
        <f t="shared" ca="1" si="47"/>
        <v>0.36250000000000004</v>
      </c>
      <c r="BN103" s="699">
        <f ca="1">IF(Data!$C$59=1,TRUNC(($A37*0.9-BM103)/$P$90*2000*PI()*0.8,0),IF(Data!$C$59=2,TRUNC(($A37*0.8-(BM103+0.1))/$P$90*2000*PI()*0.8,0),""))</f>
        <v>1480</v>
      </c>
      <c r="BO103" s="699"/>
      <c r="BP103" s="699"/>
      <c r="BQ103" s="699"/>
      <c r="BR103" s="699"/>
      <c r="BS103" s="699"/>
      <c r="BT103" s="699"/>
      <c r="BU103" s="699"/>
      <c r="BV103" s="699"/>
      <c r="BW103" s="699"/>
      <c r="BX103" s="699"/>
      <c r="BY103" s="699"/>
      <c r="BZ103" s="699"/>
      <c r="CA103" s="699"/>
      <c r="CB103" s="699"/>
    </row>
    <row r="104" spans="1:80">
      <c r="A104" s="586">
        <f t="shared" ca="1" si="48"/>
        <v>0.82008000000000003</v>
      </c>
      <c r="B104" s="655">
        <f ca="1">0.36*$B$84</f>
        <v>2880</v>
      </c>
      <c r="C104" s="586">
        <f t="shared" ca="1" si="49"/>
        <v>-1.5999999999999969E-5</v>
      </c>
      <c r="D104" s="586">
        <f t="shared" ca="1" si="18"/>
        <v>0.82008000000000003</v>
      </c>
      <c r="U104" s="707">
        <f t="shared" ca="1" si="21"/>
        <v>960</v>
      </c>
      <c r="V104" s="707">
        <f t="shared" ca="1" si="22"/>
        <v>2880</v>
      </c>
      <c r="W104" s="704">
        <f t="shared" ca="1" si="23"/>
        <v>0.64559999999999995</v>
      </c>
      <c r="X104" s="704">
        <f t="shared" ca="1" si="24"/>
        <v>0.64559999999999995</v>
      </c>
      <c r="Y104" s="704">
        <f t="shared" ca="1" si="25"/>
        <v>0.71733333333333327</v>
      </c>
      <c r="Z104" s="704">
        <f ca="1">IF(Data!$E$83=1,Data!$L$117+Data!$F$59+X104/Data!$L$116/Data!$E$59/Data!$L$115,Data!$E$90+Data!$F$59+X104/Data!$G$90/Data!$E$59/Data!$D$90)</f>
        <v>0.71733333333333327</v>
      </c>
      <c r="AA104" s="705">
        <f t="shared" ca="1" si="26"/>
        <v>0.82008000000000003</v>
      </c>
      <c r="AB104" s="699">
        <f ca="1">IF(Data!$C$59=1,TRUNC(($A104*0.9-W104)/$P$92*2000*PI()*0.8,0),IF(Data!$C$59=2,TRUNC(($A104*0.8-(W104+0.1))/$P$92*2000*PI()*0.8,0),""))</f>
        <v>23</v>
      </c>
      <c r="AC104" s="699"/>
      <c r="AD104" s="706"/>
      <c r="AE104" s="707">
        <f t="shared" ca="1" si="27"/>
        <v>480</v>
      </c>
      <c r="AF104" s="707">
        <f t="shared" ca="1" si="28"/>
        <v>2880</v>
      </c>
      <c r="AG104" s="704">
        <f t="shared" ca="1" si="29"/>
        <v>0.4304</v>
      </c>
      <c r="AH104" s="704">
        <f t="shared" ca="1" si="16"/>
        <v>0.4304</v>
      </c>
      <c r="AI104" s="705">
        <f t="shared" ca="1" si="30"/>
        <v>0.47822222222222222</v>
      </c>
      <c r="AJ104" s="704">
        <f ca="1">IF(Data!$E$83=1,Data!$L$117+Data!$F$59+AH104/Data!$L$116/Data!$E$59/Data!$L$115,Data!$E$90+Data!$F$59+AH104/Data!$G$90/Data!$E$59/Data!$D$90)</f>
        <v>0.47822222222222222</v>
      </c>
      <c r="AK104" s="704">
        <f t="shared" ca="1" si="31"/>
        <v>0.82008000000000003</v>
      </c>
      <c r="AL104" s="699">
        <f ca="1">IF(Data!$C$59=1,TRUNC(($A104*0.9-AG104)/$P$91*2000*PI()*0.8,0),IF(Data!$C$59=2,TRUNC(($A104*0.8-(AG104+0.1))/$P$91*2000*PI()*0.8,0),""))</f>
        <v>154</v>
      </c>
      <c r="AM104" s="706"/>
      <c r="AN104" s="707">
        <f t="shared" ca="1" si="32"/>
        <v>240</v>
      </c>
      <c r="AO104" s="707">
        <f t="shared" ca="1" si="33"/>
        <v>2880</v>
      </c>
      <c r="AP104" s="704">
        <f t="shared" ca="1" si="34"/>
        <v>0.2152</v>
      </c>
      <c r="AQ104" s="704">
        <f t="shared" ca="1" si="17"/>
        <v>0.2152</v>
      </c>
      <c r="AR104" s="704">
        <f t="shared" ca="1" si="35"/>
        <v>0.23911111111111111</v>
      </c>
      <c r="AS104" s="704">
        <f ca="1">IF(Data!$E$83=1,Data!$L$117+Data!$F$59+AQ104/Data!$L$116/Data!$E$59/Data!$L$115,Data!$E$90+Data!$F$59+AQ104/Data!$G$90/Data!$E$59/Data!$D$90)</f>
        <v>0.23911111111111111</v>
      </c>
      <c r="AT104" s="704">
        <f t="shared" ca="1" si="36"/>
        <v>0.82008000000000003</v>
      </c>
      <c r="AU104" s="699">
        <f ca="1">IF(Data!$C$59=1,TRUNC(($A104*0.9-AP104)/$P$90*2000*PI()*0.8,0),IF(Data!$C$59=2,TRUNC(($A104*0.8-(AP104+0.1))/$P$90*2000*PI()*0.8,0),""))</f>
        <v>525</v>
      </c>
      <c r="AV104" s="699"/>
      <c r="AW104" s="699"/>
      <c r="AX104" s="704">
        <f t="shared" ca="1" si="37"/>
        <v>1.9888889670329672</v>
      </c>
      <c r="AY104" s="707">
        <f t="shared" ca="1" si="38"/>
        <v>6664.7</v>
      </c>
      <c r="AZ104" s="707">
        <f t="shared" ca="1" si="39"/>
        <v>2221.5666666666666</v>
      </c>
      <c r="BA104" s="704">
        <f t="shared" ca="1" si="40"/>
        <v>1.099764</v>
      </c>
      <c r="BB104" s="699">
        <f ca="1">IF(Data!$C$59=1,TRUNC(($A38*0.9-BA104)/$P$92*2000*PI()*0.8,0),IF(Data!$C$59=2,TRUNC(($A38*0.8-(BA104+0.1))/$P$92*2000*PI()*0.8,0),""))</f>
        <v>173</v>
      </c>
      <c r="BC104" s="699"/>
      <c r="BD104" s="704">
        <f t="shared" ca="1" si="41"/>
        <v>1.9888889670329672</v>
      </c>
      <c r="BE104" s="707">
        <f t="shared" ca="1" si="42"/>
        <v>6664.7</v>
      </c>
      <c r="BF104" s="707">
        <f t="shared" ca="1" si="50"/>
        <v>1110.7833333333333</v>
      </c>
      <c r="BG104" s="699">
        <f t="shared" ca="1" si="43"/>
        <v>0.73317600000000005</v>
      </c>
      <c r="BH104" s="699">
        <f ca="1">IF(Data!$C$59=1,TRUNC(($A38*0.9-BG104)/$P$91*2000*PI()*0.8,0),IF(Data!$C$59=2,TRUNC(($A38*0.8-(BG104+0.1))/$P$91*2000*PI()*0.8,0),""))</f>
        <v>531</v>
      </c>
      <c r="BI104" s="699"/>
      <c r="BJ104" s="704">
        <f t="shared" ca="1" si="44"/>
        <v>1.9888889670329672</v>
      </c>
      <c r="BK104" s="707">
        <f t="shared" ca="1" si="45"/>
        <v>6664.7</v>
      </c>
      <c r="BL104" s="707">
        <f t="shared" ca="1" si="46"/>
        <v>555.39166666666665</v>
      </c>
      <c r="BM104" s="699">
        <f t="shared" ca="1" si="47"/>
        <v>0.36658800000000002</v>
      </c>
      <c r="BN104" s="699">
        <f ca="1">IF(Data!$C$59=1,TRUNC(($A38*0.9-BM104)/$P$90*2000*PI()*0.8,0),IF(Data!$C$59=2,TRUNC(($A38*0.8-(BM104+0.1))/$P$90*2000*PI()*0.8,0),""))</f>
        <v>1430</v>
      </c>
      <c r="BO104" s="699"/>
      <c r="BP104" s="699"/>
      <c r="BQ104" s="699"/>
      <c r="BR104" s="699"/>
      <c r="BS104" s="699"/>
      <c r="BT104" s="699"/>
      <c r="BU104" s="699"/>
      <c r="BV104" s="699"/>
      <c r="BW104" s="699"/>
      <c r="BX104" s="699"/>
      <c r="BY104" s="699"/>
      <c r="BZ104" s="699"/>
      <c r="CA104" s="699"/>
      <c r="CB104" s="699"/>
    </row>
    <row r="105" spans="1:80">
      <c r="A105" s="586">
        <f t="shared" ca="1" si="48"/>
        <v>0.81752000000000002</v>
      </c>
      <c r="B105" s="655">
        <f ca="1">0.38*$B$84</f>
        <v>3040</v>
      </c>
      <c r="C105" s="586">
        <f t="shared" ca="1" si="49"/>
        <v>-1.5999999999999969E-5</v>
      </c>
      <c r="D105" s="586">
        <f t="shared" ca="1" si="18"/>
        <v>0.81752000000000002</v>
      </c>
      <c r="U105" s="707">
        <f t="shared" ca="1" si="21"/>
        <v>1013.3333333333333</v>
      </c>
      <c r="V105" s="707">
        <f t="shared" ca="1" si="22"/>
        <v>3040</v>
      </c>
      <c r="W105" s="704">
        <f t="shared" ca="1" si="23"/>
        <v>0.66479999999999995</v>
      </c>
      <c r="X105" s="704">
        <f t="shared" ca="1" si="24"/>
        <v>0.66479999999999995</v>
      </c>
      <c r="Y105" s="704">
        <f t="shared" ca="1" si="25"/>
        <v>0.73866666666666658</v>
      </c>
      <c r="Z105" s="704">
        <f ca="1">IF(Data!$E$83=1,Data!$L$117+Data!$F$59+X105/Data!$L$116/Data!$E$59/Data!$L$115,Data!$E$90+Data!$F$59+X105/Data!$G$90/Data!$E$59/Data!$D$90)</f>
        <v>0.73866666666666658</v>
      </c>
      <c r="AA105" s="705">
        <f t="shared" ca="1" si="26"/>
        <v>0.81752000000000002</v>
      </c>
      <c r="AB105" s="699">
        <f ca="1">IF(Data!$C$59=1,TRUNC(($A105*0.9-W105)/$P$92*2000*PI()*0.8,0),IF(Data!$C$59=2,TRUNC(($A105*0.8-(W105+0.1))/$P$92*2000*PI()*0.8,0),""))</f>
        <v>17</v>
      </c>
      <c r="AC105" s="699"/>
      <c r="AD105" s="706"/>
      <c r="AE105" s="707">
        <f t="shared" ca="1" si="27"/>
        <v>506.66666666666663</v>
      </c>
      <c r="AF105" s="707">
        <f t="shared" ca="1" si="28"/>
        <v>3040</v>
      </c>
      <c r="AG105" s="704">
        <f t="shared" ca="1" si="29"/>
        <v>0.44320000000000004</v>
      </c>
      <c r="AH105" s="704">
        <f t="shared" ca="1" si="16"/>
        <v>0.44320000000000004</v>
      </c>
      <c r="AI105" s="705">
        <f t="shared" ca="1" si="30"/>
        <v>0.49244444444444446</v>
      </c>
      <c r="AJ105" s="704">
        <f ca="1">IF(Data!$E$83=1,Data!$L$117+Data!$F$59+AH105/Data!$L$116/Data!$E$59/Data!$L$115,Data!$E$90+Data!$F$59+AH105/Data!$G$90/Data!$E$59/Data!$D$90)</f>
        <v>0.49244444444444446</v>
      </c>
      <c r="AK105" s="704">
        <f t="shared" ca="1" si="31"/>
        <v>0.81752000000000002</v>
      </c>
      <c r="AL105" s="699">
        <f ca="1">IF(Data!$C$59=1,TRUNC(($A105*0.9-AG105)/$P$91*2000*PI()*0.8,0),IF(Data!$C$59=2,TRUNC(($A105*0.8-(AG105+0.1))/$P$91*2000*PI()*0.8,0),""))</f>
        <v>147</v>
      </c>
      <c r="AM105" s="706"/>
      <c r="AN105" s="707">
        <f t="shared" ca="1" si="32"/>
        <v>253.33333333333331</v>
      </c>
      <c r="AO105" s="707">
        <f t="shared" ca="1" si="33"/>
        <v>3040</v>
      </c>
      <c r="AP105" s="704">
        <f t="shared" ca="1" si="34"/>
        <v>0.22160000000000002</v>
      </c>
      <c r="AQ105" s="704">
        <f t="shared" ca="1" si="17"/>
        <v>0.22160000000000002</v>
      </c>
      <c r="AR105" s="704">
        <f t="shared" ca="1" si="35"/>
        <v>0.24622222222222223</v>
      </c>
      <c r="AS105" s="704">
        <f ca="1">IF(Data!$E$83=1,Data!$L$117+Data!$F$59+AQ105/Data!$L$116/Data!$E$59/Data!$L$115,Data!$E$90+Data!$F$59+AQ105/Data!$G$90/Data!$E$59/Data!$D$90)</f>
        <v>0.24622222222222223</v>
      </c>
      <c r="AT105" s="704">
        <f t="shared" ca="1" si="36"/>
        <v>0.81752000000000002</v>
      </c>
      <c r="AU105" s="699">
        <f ca="1">IF(Data!$C$59=1,TRUNC(($A105*0.9-AP105)/$P$90*2000*PI()*0.8,0),IF(Data!$C$59=2,TRUNC(($A105*0.8-(AP105+0.1))/$P$90*2000*PI()*0.8,0),""))</f>
        <v>516</v>
      </c>
      <c r="AV105" s="699"/>
      <c r="AW105" s="699"/>
      <c r="AX105" s="704">
        <f t="shared" ca="1" si="37"/>
        <v>1.938161934065934</v>
      </c>
      <c r="AY105" s="707">
        <f t="shared" ca="1" si="38"/>
        <v>6768.4</v>
      </c>
      <c r="AZ105" s="707">
        <f t="shared" ca="1" si="39"/>
        <v>2256.1333333333332</v>
      </c>
      <c r="BA105" s="704">
        <f t="shared" ca="1" si="40"/>
        <v>1.1122079999999999</v>
      </c>
      <c r="BB105" s="699">
        <f ca="1">IF(Data!$C$59=1,TRUNC(($A39*0.9-BA105)/$P$92*2000*PI()*0.8,0),IF(Data!$C$59=2,TRUNC(($A39*0.8-(BA105+0.1))/$P$92*2000*PI()*0.8,0),""))</f>
        <v>158</v>
      </c>
      <c r="BC105" s="699"/>
      <c r="BD105" s="704">
        <f t="shared" ca="1" si="41"/>
        <v>1.938161934065934</v>
      </c>
      <c r="BE105" s="707">
        <f t="shared" ca="1" si="42"/>
        <v>6768.4</v>
      </c>
      <c r="BF105" s="707">
        <f t="shared" ca="1" si="50"/>
        <v>1128.0666666666666</v>
      </c>
      <c r="BG105" s="699">
        <f t="shared" ca="1" si="43"/>
        <v>0.74147200000000013</v>
      </c>
      <c r="BH105" s="699">
        <f ca="1">IF(Data!$C$59=1,TRUNC(($A39*0.9-BG105)/$P$91*2000*PI()*0.8,0),IF(Data!$C$59=2,TRUNC(($A39*0.8-(BG105+0.1))/$P$91*2000*PI()*0.8,0),""))</f>
        <v>504</v>
      </c>
      <c r="BI105" s="699"/>
      <c r="BJ105" s="704">
        <f t="shared" ca="1" si="44"/>
        <v>1.938161934065934</v>
      </c>
      <c r="BK105" s="707">
        <f t="shared" ca="1" si="45"/>
        <v>6768.4</v>
      </c>
      <c r="BL105" s="707">
        <f t="shared" ca="1" si="46"/>
        <v>564.0333333333333</v>
      </c>
      <c r="BM105" s="699">
        <f t="shared" ca="1" si="47"/>
        <v>0.37073600000000007</v>
      </c>
      <c r="BN105" s="699">
        <f ca="1">IF(Data!$C$59=1,TRUNC(($A39*0.9-BM105)/$P$90*2000*PI()*0.8,0),IF(Data!$C$59=2,TRUNC(($A39*0.8-(BM105+0.1))/$P$90*2000*PI()*0.8,0),""))</f>
        <v>1380</v>
      </c>
      <c r="BO105" s="699"/>
      <c r="BP105" s="699"/>
      <c r="BQ105" s="699"/>
      <c r="BR105" s="699"/>
      <c r="BS105" s="699"/>
      <c r="BT105" s="699"/>
      <c r="BU105" s="699"/>
      <c r="BV105" s="699"/>
      <c r="BW105" s="699"/>
      <c r="BX105" s="699"/>
      <c r="BY105" s="699"/>
      <c r="BZ105" s="699"/>
      <c r="CA105" s="699"/>
      <c r="CB105" s="699"/>
    </row>
    <row r="106" spans="1:80">
      <c r="A106" s="586">
        <f t="shared" ca="1" si="48"/>
        <v>0.81496000000000002</v>
      </c>
      <c r="B106" s="655">
        <f ca="1">0.4*$B$84</f>
        <v>3200</v>
      </c>
      <c r="C106" s="586">
        <f ca="1">IF(B106&lt;$B$79,$E$79,IF(B106&lt;$B$80,$E$80,IF(B106&lt;$B$81,$E$81,IF(B106&lt;$B$82,$E$82,$E$83 ) ) ))</f>
        <v>-1.5999999999999969E-5</v>
      </c>
      <c r="D106" s="586">
        <f t="shared" ca="1" si="18"/>
        <v>0.81496000000000002</v>
      </c>
      <c r="U106" s="707">
        <f t="shared" ca="1" si="21"/>
        <v>1066.6666666666667</v>
      </c>
      <c r="V106" s="707">
        <f t="shared" ca="1" si="22"/>
        <v>3200</v>
      </c>
      <c r="W106" s="704">
        <f t="shared" ca="1" si="23"/>
        <v>0.68399999999999994</v>
      </c>
      <c r="X106" s="704">
        <f t="shared" ca="1" si="24"/>
        <v>0.68399999999999994</v>
      </c>
      <c r="Y106" s="704">
        <f t="shared" ca="1" si="25"/>
        <v>0.7599999999999999</v>
      </c>
      <c r="Z106" s="704">
        <f ca="1">IF(Data!$E$83=1,Data!$L$117+Data!$F$59+X106/Data!$L$116/Data!$E$59/Data!$L$115,Data!$E$90+Data!$F$59+X106/Data!$G$90/Data!$E$59/Data!$D$90)</f>
        <v>0.7599999999999999</v>
      </c>
      <c r="AA106" s="705">
        <f t="shared" ca="1" si="26"/>
        <v>0.81496000000000002</v>
      </c>
      <c r="AB106" s="699">
        <f ca="1">IF(Data!$C$59=1,TRUNC(($A106*0.9-W106)/$P$92*2000*PI()*0.8,0),IF(Data!$C$59=2,TRUNC(($A106*0.8-(W106+0.1))/$P$92*2000*PI()*0.8,0),""))</f>
        <v>12</v>
      </c>
      <c r="AC106" s="699"/>
      <c r="AD106" s="706"/>
      <c r="AE106" s="707">
        <f t="shared" ca="1" si="27"/>
        <v>533.33333333333337</v>
      </c>
      <c r="AF106" s="707">
        <f t="shared" ca="1" si="28"/>
        <v>3200</v>
      </c>
      <c r="AG106" s="704">
        <f t="shared" ca="1" si="29"/>
        <v>0.45600000000000002</v>
      </c>
      <c r="AH106" s="704">
        <f t="shared" ca="1" si="16"/>
        <v>0.45600000000000002</v>
      </c>
      <c r="AI106" s="705">
        <f t="shared" ca="1" si="30"/>
        <v>0.50666666666666671</v>
      </c>
      <c r="AJ106" s="704">
        <f ca="1">IF(Data!$E$83=1,Data!$L$117+Data!$F$59+AH106/Data!$L$116/Data!$E$59/Data!$L$115,Data!$E$90+Data!$F$59+AH106/Data!$G$90/Data!$E$59/Data!$D$90)</f>
        <v>0.50666666666666671</v>
      </c>
      <c r="AK106" s="704">
        <f t="shared" ca="1" si="31"/>
        <v>0.81496000000000002</v>
      </c>
      <c r="AL106" s="699">
        <f ca="1">IF(Data!$C$59=1,TRUNC(($A106*0.9-AG106)/$P$91*2000*PI()*0.8,0),IF(Data!$C$59=2,TRUNC(($A106*0.8-(AG106+0.1))/$P$91*2000*PI()*0.8,0),""))</f>
        <v>139</v>
      </c>
      <c r="AM106" s="706"/>
      <c r="AN106" s="707">
        <f t="shared" ca="1" si="32"/>
        <v>266.66666666666669</v>
      </c>
      <c r="AO106" s="707">
        <f t="shared" ca="1" si="33"/>
        <v>3200</v>
      </c>
      <c r="AP106" s="704">
        <f t="shared" ca="1" si="34"/>
        <v>0.22800000000000001</v>
      </c>
      <c r="AQ106" s="704">
        <f t="shared" ca="1" si="17"/>
        <v>0.22800000000000001</v>
      </c>
      <c r="AR106" s="704">
        <f t="shared" ca="1" si="35"/>
        <v>0.25333333333333335</v>
      </c>
      <c r="AS106" s="704">
        <f ca="1">IF(Data!$E$83=1,Data!$L$117+Data!$F$59+AQ106/Data!$L$116/Data!$E$59/Data!$L$115,Data!$E$90+Data!$F$59+AQ106/Data!$G$90/Data!$E$59/Data!$D$90)</f>
        <v>0.25333333333333335</v>
      </c>
      <c r="AT106" s="704">
        <f t="shared" ca="1" si="36"/>
        <v>0.81496000000000002</v>
      </c>
      <c r="AU106" s="699">
        <f ca="1">IF(Data!$C$59=1,TRUNC(($A106*0.9-AP106)/$P$90*2000*PI()*0.8,0),IF(Data!$C$59=2,TRUNC(($A106*0.8-(AP106+0.1))/$P$90*2000*PI()*0.8,0),""))</f>
        <v>508</v>
      </c>
      <c r="AV106" s="699"/>
      <c r="AW106" s="699"/>
      <c r="AX106" s="704">
        <f t="shared" ca="1" si="37"/>
        <v>1.8868385054945054</v>
      </c>
      <c r="AY106" s="707">
        <f t="shared" ca="1" si="38"/>
        <v>6873.6</v>
      </c>
      <c r="AZ106" s="707">
        <f t="shared" ca="1" si="39"/>
        <v>2291.1999999999998</v>
      </c>
      <c r="BA106" s="704">
        <f t="shared" ca="1" si="40"/>
        <v>1.1248320000000001</v>
      </c>
      <c r="BB106" s="699">
        <f ca="1">IF(Data!$C$59=1,TRUNC(($A40*0.9-BA106)/$P$92*2000*PI()*0.8,0),IF(Data!$C$59=2,TRUNC(($A40*0.8-(BA106+0.1))/$P$92*2000*PI()*0.8,0),""))</f>
        <v>144</v>
      </c>
      <c r="BC106" s="699"/>
      <c r="BD106" s="704">
        <f t="shared" ca="1" si="41"/>
        <v>1.8868385054945054</v>
      </c>
      <c r="BE106" s="707">
        <f t="shared" ca="1" si="42"/>
        <v>6873.6</v>
      </c>
      <c r="BF106" s="707">
        <f t="shared" ca="1" si="50"/>
        <v>1145.5999999999999</v>
      </c>
      <c r="BG106" s="699">
        <f t="shared" ca="1" si="43"/>
        <v>0.74988800000000011</v>
      </c>
      <c r="BH106" s="699">
        <f ca="1">IF(Data!$C$59=1,TRUNC(($A40*0.9-BG106)/$P$91*2000*PI()*0.8,0),IF(Data!$C$59=2,TRUNC(($A40*0.8-(BG106+0.1))/$P$91*2000*PI()*0.8,0),""))</f>
        <v>476</v>
      </c>
      <c r="BI106" s="699"/>
      <c r="BJ106" s="704">
        <f t="shared" ca="1" si="44"/>
        <v>1.8868385054945054</v>
      </c>
      <c r="BK106" s="707">
        <f t="shared" ca="1" si="45"/>
        <v>6873.6</v>
      </c>
      <c r="BL106" s="707">
        <f t="shared" ca="1" si="46"/>
        <v>572.79999999999995</v>
      </c>
      <c r="BM106" s="699">
        <f t="shared" ca="1" si="47"/>
        <v>0.37494400000000006</v>
      </c>
      <c r="BN106" s="699">
        <f ca="1">IF(Data!$C$59=1,TRUNC(($A40*0.9-BM106)/$P$90*2000*PI()*0.8,0),IF(Data!$C$59=2,TRUNC(($A40*0.8-(BM106+0.1))/$P$90*2000*PI()*0.8,0),""))</f>
        <v>1330</v>
      </c>
      <c r="BO106" s="699"/>
      <c r="BP106" s="699"/>
      <c r="BQ106" s="699"/>
      <c r="BR106" s="699"/>
      <c r="BS106" s="699"/>
      <c r="BT106" s="699"/>
      <c r="BU106" s="699"/>
      <c r="BV106" s="699"/>
      <c r="BW106" s="699"/>
      <c r="BX106" s="699"/>
      <c r="BY106" s="699"/>
      <c r="BZ106" s="699"/>
      <c r="CA106" s="699"/>
      <c r="CB106" s="699"/>
    </row>
    <row r="107" spans="1:80">
      <c r="A107" s="586">
        <f t="shared" ca="1" si="48"/>
        <v>0.81240000000000001</v>
      </c>
      <c r="B107" s="655">
        <f ca="1">0.42*$B$84</f>
        <v>3360</v>
      </c>
      <c r="C107" s="586">
        <f t="shared" ref="C107:C124" ca="1" si="52">IF(B107&lt;$B$79,$E$79,IF(B107&lt;$B$80,$E$80,IF(B107&lt;$B$81,$E$81,IF(B107&lt;$B$82,$E$82,$E$83 ) ) ))</f>
        <v>-1.5999999999999969E-5</v>
      </c>
      <c r="D107" s="586">
        <f t="shared" ca="1" si="18"/>
        <v>0.81240000000000001</v>
      </c>
      <c r="U107" s="707">
        <f t="shared" ca="1" si="21"/>
        <v>1120</v>
      </c>
      <c r="V107" s="707">
        <f t="shared" ca="1" si="22"/>
        <v>3360</v>
      </c>
      <c r="W107" s="704">
        <f t="shared" ca="1" si="23"/>
        <v>0.70320000000000005</v>
      </c>
      <c r="X107" s="704">
        <f t="shared" ca="1" si="24"/>
        <v>0.70320000000000005</v>
      </c>
      <c r="Y107" s="704">
        <f t="shared" ca="1" si="25"/>
        <v>0.78133333333333332</v>
      </c>
      <c r="Z107" s="704">
        <f ca="1">IF(Data!$E$83=1,Data!$L$117+Data!$F$59+X107/Data!$L$116/Data!$E$59/Data!$L$115,Data!$E$90+Data!$F$59+X107/Data!$G$90/Data!$E$59/Data!$D$90)</f>
        <v>0.78133333333333332</v>
      </c>
      <c r="AA107" s="705">
        <f t="shared" ca="1" si="26"/>
        <v>0.81240000000000001</v>
      </c>
      <c r="AB107" s="699">
        <f ca="1">IF(Data!$C$59=1,TRUNC(($A107*0.9-W107)/$P$92*2000*PI()*0.8,0),IF(Data!$C$59=2,TRUNC(($A107*0.8-(W107+0.1))/$P$92*2000*PI()*0.8,0),""))</f>
        <v>7</v>
      </c>
      <c r="AC107" s="699"/>
      <c r="AD107" s="706"/>
      <c r="AE107" s="707">
        <f t="shared" ca="1" si="27"/>
        <v>560</v>
      </c>
      <c r="AF107" s="707">
        <f t="shared" ca="1" si="28"/>
        <v>3360</v>
      </c>
      <c r="AG107" s="704">
        <f t="shared" ca="1" si="29"/>
        <v>0.46880000000000005</v>
      </c>
      <c r="AH107" s="704">
        <f t="shared" ca="1" si="16"/>
        <v>0.46880000000000005</v>
      </c>
      <c r="AI107" s="705">
        <f t="shared" ca="1" si="30"/>
        <v>0.52088888888888896</v>
      </c>
      <c r="AJ107" s="704">
        <f ca="1">IF(Data!$E$83=1,Data!$L$117+Data!$F$59+AH107/Data!$L$116/Data!$E$59/Data!$L$115,Data!$E$90+Data!$F$59+AH107/Data!$G$90/Data!$E$59/Data!$D$90)</f>
        <v>0.52088888888888896</v>
      </c>
      <c r="AK107" s="704">
        <f t="shared" ca="1" si="31"/>
        <v>0.81240000000000001</v>
      </c>
      <c r="AL107" s="699">
        <f ca="1">IF(Data!$C$59=1,TRUNC(($A107*0.9-AG107)/$P$91*2000*PI()*0.8,0),IF(Data!$C$59=2,TRUNC(($A107*0.8-(AG107+0.1))/$P$91*2000*PI()*0.8,0),""))</f>
        <v>131</v>
      </c>
      <c r="AM107" s="706"/>
      <c r="AN107" s="707">
        <f t="shared" ca="1" si="32"/>
        <v>280</v>
      </c>
      <c r="AO107" s="707">
        <f t="shared" ca="1" si="33"/>
        <v>3360</v>
      </c>
      <c r="AP107" s="704">
        <f t="shared" ca="1" si="34"/>
        <v>0.23440000000000003</v>
      </c>
      <c r="AQ107" s="704">
        <f t="shared" ca="1" si="17"/>
        <v>0.23440000000000003</v>
      </c>
      <c r="AR107" s="704">
        <f t="shared" ca="1" si="35"/>
        <v>0.26044444444444448</v>
      </c>
      <c r="AS107" s="704">
        <f ca="1">IF(Data!$E$83=1,Data!$L$117+Data!$F$59+AQ107/Data!$L$116/Data!$E$59/Data!$L$115,Data!$E$90+Data!$F$59+AQ107/Data!$G$90/Data!$E$59/Data!$D$90)</f>
        <v>0.26044444444444448</v>
      </c>
      <c r="AT107" s="704">
        <f t="shared" ca="1" si="36"/>
        <v>0.81240000000000001</v>
      </c>
      <c r="AU107" s="699">
        <f ca="1">IF(Data!$C$59=1,TRUNC(($A107*0.9-AP107)/$P$90*2000*PI()*0.8,0),IF(Data!$C$59=2,TRUNC(($A107*0.8-(AP107+0.1))/$P$90*2000*PI()*0.8,0),""))</f>
        <v>499</v>
      </c>
      <c r="AV107" s="699"/>
      <c r="AW107" s="699"/>
      <c r="AX107" s="704">
        <f t="shared" ca="1" si="37"/>
        <v>1.8349186813186811</v>
      </c>
      <c r="AY107" s="707">
        <f t="shared" ca="1" si="38"/>
        <v>6980.1</v>
      </c>
      <c r="AZ107" s="707">
        <f t="shared" ca="1" si="39"/>
        <v>2326.7000000000003</v>
      </c>
      <c r="BA107" s="704">
        <f t="shared" ca="1" si="40"/>
        <v>1.1376120000000001</v>
      </c>
      <c r="BB107" s="699">
        <f ca="1">IF(Data!$C$59=1,TRUNC(($A41*0.9-BA107)/$P$92*2000*PI()*0.8,0),IF(Data!$C$59=2,TRUNC(($A41*0.8-(BA107+0.1))/$P$92*2000*PI()*0.8,0),""))</f>
        <v>129</v>
      </c>
      <c r="BC107" s="699"/>
      <c r="BD107" s="704">
        <f t="shared" ca="1" si="41"/>
        <v>1.8349186813186811</v>
      </c>
      <c r="BE107" s="707">
        <f t="shared" ca="1" si="42"/>
        <v>6980.1</v>
      </c>
      <c r="BF107" s="707">
        <f t="shared" ca="1" si="50"/>
        <v>1163.3500000000001</v>
      </c>
      <c r="BG107" s="699">
        <f t="shared" ca="1" si="43"/>
        <v>0.75840799999999997</v>
      </c>
      <c r="BH107" s="699">
        <f ca="1">IF(Data!$C$59=1,TRUNC(($A41*0.9-BG107)/$P$91*2000*PI()*0.8,0),IF(Data!$C$59=2,TRUNC(($A41*0.8-(BG107+0.1))/$P$91*2000*PI()*0.8,0),""))</f>
        <v>448</v>
      </c>
      <c r="BI107" s="699"/>
      <c r="BJ107" s="704">
        <f t="shared" ca="1" si="44"/>
        <v>1.8349186813186811</v>
      </c>
      <c r="BK107" s="707">
        <f t="shared" ca="1" si="45"/>
        <v>6980.1</v>
      </c>
      <c r="BL107" s="707">
        <f t="shared" ca="1" si="46"/>
        <v>581.67500000000007</v>
      </c>
      <c r="BM107" s="699">
        <f t="shared" ca="1" si="47"/>
        <v>0.37920399999999999</v>
      </c>
      <c r="BN107" s="699">
        <f ca="1">IF(Data!$C$59=1,TRUNC(($A41*0.9-BM107)/$P$90*2000*PI()*0.8,0),IF(Data!$C$59=2,TRUNC(($A41*0.8-(BM107+0.1))/$P$90*2000*PI()*0.8,0),""))</f>
        <v>1278</v>
      </c>
      <c r="BO107" s="699"/>
      <c r="BP107" s="699"/>
      <c r="BQ107" s="699"/>
      <c r="BR107" s="699"/>
      <c r="BS107" s="699"/>
      <c r="BT107" s="699"/>
      <c r="BU107" s="699"/>
      <c r="BV107" s="699"/>
      <c r="BW107" s="699"/>
      <c r="BX107" s="699"/>
      <c r="BY107" s="699"/>
      <c r="BZ107" s="699"/>
      <c r="CA107" s="699"/>
      <c r="CB107" s="699"/>
    </row>
    <row r="108" spans="1:80">
      <c r="A108" s="586">
        <f t="shared" ca="1" si="48"/>
        <v>0.80848888888888892</v>
      </c>
      <c r="B108" s="655">
        <f ca="1">0.44*$B$84</f>
        <v>3520</v>
      </c>
      <c r="C108" s="586">
        <f t="shared" ca="1" si="52"/>
        <v>-2.4444444444444465E-5</v>
      </c>
      <c r="D108" s="586">
        <f t="shared" ca="1" si="18"/>
        <v>0.80848888888888892</v>
      </c>
      <c r="U108" s="707">
        <f t="shared" ca="1" si="21"/>
        <v>1173.3333333333333</v>
      </c>
      <c r="V108" s="707">
        <f t="shared" ca="1" si="22"/>
        <v>3520</v>
      </c>
      <c r="W108" s="704">
        <f t="shared" ca="1" si="23"/>
        <v>0.72239999999999993</v>
      </c>
      <c r="X108" s="704">
        <f t="shared" ca="1" si="24"/>
        <v>0.72239999999999993</v>
      </c>
      <c r="Y108" s="704">
        <f t="shared" ca="1" si="25"/>
        <v>0.80266666666666653</v>
      </c>
      <c r="Z108" s="704">
        <f ca="1">IF(Data!$E$83=1,Data!$L$117+Data!$F$59+X108/Data!$L$116/Data!$E$59/Data!$L$115,Data!$E$90+Data!$F$59+X108/Data!$G$90/Data!$E$59/Data!$D$90)</f>
        <v>0.80266666666666653</v>
      </c>
      <c r="AA108" s="705">
        <f t="shared" ca="1" si="26"/>
        <v>0.80848888888888892</v>
      </c>
      <c r="AB108" s="699">
        <f ca="1">IF(Data!$C$59=1,TRUNC(($A108*0.9-W108)/$P$92*2000*PI()*0.8,0),IF(Data!$C$59=2,TRUNC(($A108*0.8-(W108+0.1))/$P$92*2000*PI()*0.8,0),""))</f>
        <v>1</v>
      </c>
      <c r="AC108" s="699"/>
      <c r="AD108" s="706"/>
      <c r="AE108" s="707">
        <f t="shared" ca="1" si="27"/>
        <v>586.66666666666663</v>
      </c>
      <c r="AF108" s="707">
        <f t="shared" ca="1" si="28"/>
        <v>3520</v>
      </c>
      <c r="AG108" s="704">
        <f t="shared" ca="1" si="29"/>
        <v>0.48160000000000003</v>
      </c>
      <c r="AH108" s="704">
        <f t="shared" ca="1" si="16"/>
        <v>0.48160000000000003</v>
      </c>
      <c r="AI108" s="705">
        <f t="shared" ca="1" si="30"/>
        <v>0.53511111111111109</v>
      </c>
      <c r="AJ108" s="704">
        <f ca="1">IF(Data!$E$83=1,Data!$L$117+Data!$F$59+AH108/Data!$L$116/Data!$E$59/Data!$L$115,Data!$E$90+Data!$F$59+AH108/Data!$G$90/Data!$E$59/Data!$D$90)</f>
        <v>0.53511111111111109</v>
      </c>
      <c r="AK108" s="704">
        <f t="shared" ca="1" si="31"/>
        <v>0.80848888888888892</v>
      </c>
      <c r="AL108" s="699">
        <f ca="1">IF(Data!$C$59=1,TRUNC(($A108*0.9-AG108)/$P$91*2000*PI()*0.8,0),IF(Data!$C$59=2,TRUNC(($A108*0.8-(AG108+0.1))/$P$91*2000*PI()*0.8,0),""))</f>
        <v>123</v>
      </c>
      <c r="AM108" s="706"/>
      <c r="AN108" s="707">
        <f t="shared" ca="1" si="32"/>
        <v>293.33333333333331</v>
      </c>
      <c r="AO108" s="707">
        <f t="shared" ca="1" si="33"/>
        <v>3520</v>
      </c>
      <c r="AP108" s="704">
        <f t="shared" ca="1" si="34"/>
        <v>0.24080000000000001</v>
      </c>
      <c r="AQ108" s="704">
        <f t="shared" ca="1" si="17"/>
        <v>0.24080000000000001</v>
      </c>
      <c r="AR108" s="704">
        <f t="shared" ca="1" si="35"/>
        <v>0.26755555555555555</v>
      </c>
      <c r="AS108" s="704">
        <f ca="1">IF(Data!$E$83=1,Data!$L$117+Data!$F$59+AQ108/Data!$L$116/Data!$E$59/Data!$L$115,Data!$E$90+Data!$F$59+AQ108/Data!$G$90/Data!$E$59/Data!$D$90)</f>
        <v>0.26755555555555555</v>
      </c>
      <c r="AT108" s="704">
        <f t="shared" ca="1" si="36"/>
        <v>0.80848888888888892</v>
      </c>
      <c r="AU108" s="699">
        <f ca="1">IF(Data!$C$59=1,TRUNC(($A108*0.9-AP108)/$P$90*2000*PI()*0.8,0),IF(Data!$C$59=2,TRUNC(($A108*0.8-(AP108+0.1))/$P$90*2000*PI()*0.8,0),""))</f>
        <v>489</v>
      </c>
      <c r="AV108" s="699"/>
      <c r="AW108" s="699"/>
      <c r="AX108" s="704">
        <f t="shared" ca="1" si="37"/>
        <v>1.7824024615384615</v>
      </c>
      <c r="AY108" s="707">
        <f t="shared" ca="1" si="38"/>
        <v>7088</v>
      </c>
      <c r="AZ108" s="707">
        <f t="shared" ca="1" si="39"/>
        <v>2362.666666666667</v>
      </c>
      <c r="BA108" s="704">
        <f t="shared" ca="1" si="40"/>
        <v>1.15056</v>
      </c>
      <c r="BB108" s="699">
        <f ca="1">IF(Data!$C$59=1,TRUNC(($A42*0.9-BA108)/$P$92*2000*PI()*0.8,0),IF(Data!$C$59=2,TRUNC(($A42*0.8-(BA108+0.1))/$P$92*2000*PI()*0.8,0),""))</f>
        <v>114</v>
      </c>
      <c r="BC108" s="699"/>
      <c r="BD108" s="704">
        <f t="shared" ca="1" si="41"/>
        <v>1.7824024615384615</v>
      </c>
      <c r="BE108" s="707">
        <f t="shared" ca="1" si="42"/>
        <v>7088</v>
      </c>
      <c r="BF108" s="707">
        <f t="shared" ca="1" si="50"/>
        <v>1181.3333333333335</v>
      </c>
      <c r="BG108" s="699">
        <f t="shared" ca="1" si="43"/>
        <v>0.76703999999999994</v>
      </c>
      <c r="BH108" s="699">
        <f ca="1">IF(Data!$C$59=1,TRUNC(($A42*0.9-BG108)/$P$91*2000*PI()*0.8,0),IF(Data!$C$59=2,TRUNC(($A42*0.8-(BG108+0.1))/$P$91*2000*PI()*0.8,0),""))</f>
        <v>420</v>
      </c>
      <c r="BI108" s="699"/>
      <c r="BJ108" s="704">
        <f t="shared" ca="1" si="44"/>
        <v>1.7824024615384615</v>
      </c>
      <c r="BK108" s="707">
        <f t="shared" ca="1" si="45"/>
        <v>7088</v>
      </c>
      <c r="BL108" s="707">
        <f t="shared" ca="1" si="46"/>
        <v>590.66666666666674</v>
      </c>
      <c r="BM108" s="699">
        <f t="shared" ca="1" si="47"/>
        <v>0.38351999999999997</v>
      </c>
      <c r="BN108" s="699">
        <f ca="1">IF(Data!$C$59=1,TRUNC(($A42*0.9-BM108)/$P$90*2000*PI()*0.8,0),IF(Data!$C$59=2,TRUNC(($A42*0.8-(BM108+0.1))/$P$90*2000*PI()*0.8,0),""))</f>
        <v>1227</v>
      </c>
      <c r="BO108" s="699"/>
      <c r="BP108" s="699"/>
      <c r="BQ108" s="699"/>
      <c r="BR108" s="699"/>
      <c r="BS108" s="699"/>
      <c r="BT108" s="699"/>
      <c r="BU108" s="699"/>
      <c r="BV108" s="699"/>
      <c r="BW108" s="699"/>
      <c r="BX108" s="699"/>
      <c r="BY108" s="699"/>
      <c r="BZ108" s="699"/>
      <c r="CA108" s="699"/>
      <c r="CB108" s="699"/>
    </row>
    <row r="109" spans="1:80">
      <c r="A109" s="586">
        <f t="shared" ca="1" si="48"/>
        <v>0.80457777777777784</v>
      </c>
      <c r="B109" s="655">
        <f ca="1">0.46*$B$84</f>
        <v>3680</v>
      </c>
      <c r="C109" s="586">
        <f t="shared" ca="1" si="52"/>
        <v>-2.4444444444444465E-5</v>
      </c>
      <c r="D109" s="586">
        <f t="shared" ca="1" si="18"/>
        <v>0.80457777777777784</v>
      </c>
      <c r="U109" s="707">
        <f t="shared" ca="1" si="21"/>
        <v>1226.6666666666667</v>
      </c>
      <c r="V109" s="707">
        <f t="shared" ca="1" si="22"/>
        <v>3680</v>
      </c>
      <c r="W109" s="704">
        <f t="shared" ca="1" si="23"/>
        <v>0.74160000000000004</v>
      </c>
      <c r="X109" s="704">
        <f t="shared" ca="1" si="24"/>
        <v>0.74160000000000004</v>
      </c>
      <c r="Y109" s="704" t="str">
        <f t="shared" ca="1" si="25"/>
        <v/>
      </c>
      <c r="Z109" s="704">
        <f ca="1">IF(Data!$E$83=1,Data!$L$117+Data!$F$59+X109/Data!$L$116/Data!$E$59/Data!$L$115,Data!$E$90+Data!$F$59+X109/Data!$G$90/Data!$E$59/Data!$D$90)</f>
        <v>0.82400000000000007</v>
      </c>
      <c r="AA109" s="705">
        <f t="shared" ca="1" si="26"/>
        <v>0.80457777777777784</v>
      </c>
      <c r="AB109" s="699">
        <f ca="1">IF(Data!$C$59=1,TRUNC(($A109*0.9-W109)/$P$92*2000*PI()*0.8,0),IF(Data!$C$59=2,TRUNC(($A109*0.8-(W109+0.1))/$P$92*2000*PI()*0.8,0),""))</f>
        <v>-4</v>
      </c>
      <c r="AC109" s="699"/>
      <c r="AD109" s="706"/>
      <c r="AE109" s="707">
        <f t="shared" ca="1" si="27"/>
        <v>613.33333333333337</v>
      </c>
      <c r="AF109" s="707">
        <f t="shared" ca="1" si="28"/>
        <v>3680</v>
      </c>
      <c r="AG109" s="704">
        <f t="shared" ca="1" si="29"/>
        <v>0.49440000000000001</v>
      </c>
      <c r="AH109" s="704">
        <f t="shared" ca="1" si="16"/>
        <v>0.49440000000000001</v>
      </c>
      <c r="AI109" s="705">
        <f t="shared" ca="1" si="30"/>
        <v>0.54933333333333334</v>
      </c>
      <c r="AJ109" s="704">
        <f ca="1">IF(Data!$E$83=1,Data!$L$117+Data!$F$59+AH109/Data!$L$116/Data!$E$59/Data!$L$115,Data!$E$90+Data!$F$59+AH109/Data!$G$90/Data!$E$59/Data!$D$90)</f>
        <v>0.54933333333333334</v>
      </c>
      <c r="AK109" s="704">
        <f t="shared" ca="1" si="31"/>
        <v>0.80457777777777784</v>
      </c>
      <c r="AL109" s="699">
        <f ca="1">IF(Data!$C$59=1,TRUNC(($A109*0.9-AG109)/$P$91*2000*PI()*0.8,0),IF(Data!$C$59=2,TRUNC(($A109*0.8-(AG109+0.1))/$P$91*2000*PI()*0.8,0),""))</f>
        <v>115</v>
      </c>
      <c r="AM109" s="706"/>
      <c r="AN109" s="707">
        <f t="shared" ca="1" si="32"/>
        <v>306.66666666666669</v>
      </c>
      <c r="AO109" s="707">
        <f t="shared" ca="1" si="33"/>
        <v>3680</v>
      </c>
      <c r="AP109" s="704">
        <f t="shared" ca="1" si="34"/>
        <v>0.2472</v>
      </c>
      <c r="AQ109" s="704">
        <f t="shared" ca="1" si="17"/>
        <v>0.2472</v>
      </c>
      <c r="AR109" s="704">
        <f t="shared" ca="1" si="35"/>
        <v>0.27466666666666667</v>
      </c>
      <c r="AS109" s="704">
        <f ca="1">IF(Data!$E$83=1,Data!$L$117+Data!$F$59+AQ109/Data!$L$116/Data!$E$59/Data!$L$115,Data!$E$90+Data!$F$59+AQ109/Data!$G$90/Data!$E$59/Data!$D$90)</f>
        <v>0.27466666666666667</v>
      </c>
      <c r="AT109" s="704">
        <f t="shared" ca="1" si="36"/>
        <v>0.80457777777777784</v>
      </c>
      <c r="AU109" s="699">
        <f ca="1">IF(Data!$C$59=1,TRUNC(($A109*0.9-AP109)/$P$90*2000*PI()*0.8,0),IF(Data!$C$59=2,TRUNC(($A109*0.8-(AP109+0.1))/$P$90*2000*PI()*0.8,0),""))</f>
        <v>479</v>
      </c>
      <c r="AV109" s="699"/>
      <c r="AW109" s="699"/>
      <c r="AX109" s="704">
        <f t="shared" ca="1" si="37"/>
        <v>1.7292898461538462</v>
      </c>
      <c r="AY109" s="707">
        <f t="shared" ca="1" si="38"/>
        <v>7197.1</v>
      </c>
      <c r="AZ109" s="707">
        <f t="shared" ca="1" si="39"/>
        <v>2399.0333333333333</v>
      </c>
      <c r="BA109" s="704">
        <f t="shared" ca="1" si="40"/>
        <v>1.1636520000000001</v>
      </c>
      <c r="BB109" s="699">
        <f ca="1">IF(Data!$C$59=1,TRUNC(($A43*0.9-BA109)/$P$92*2000*PI()*0.8,0),IF(Data!$C$59=2,TRUNC(($A43*0.8-(BA109+0.1))/$P$92*2000*PI()*0.8,0),""))</f>
        <v>98</v>
      </c>
      <c r="BC109" s="699"/>
      <c r="BD109" s="704">
        <f t="shared" ca="1" si="41"/>
        <v>1.7292898461538462</v>
      </c>
      <c r="BE109" s="707">
        <f t="shared" ca="1" si="42"/>
        <v>7197.1</v>
      </c>
      <c r="BF109" s="707">
        <f t="shared" ca="1" si="50"/>
        <v>1199.5166666666667</v>
      </c>
      <c r="BG109" s="699">
        <f t="shared" ca="1" si="43"/>
        <v>0.77576800000000001</v>
      </c>
      <c r="BH109" s="699">
        <f ca="1">IF(Data!$C$59=1,TRUNC(($A43*0.9-BG109)/$P$91*2000*PI()*0.8,0),IF(Data!$C$59=2,TRUNC(($A43*0.8-(BG109+0.1))/$P$91*2000*PI()*0.8,0),""))</f>
        <v>392</v>
      </c>
      <c r="BI109" s="699"/>
      <c r="BJ109" s="704">
        <f t="shared" ca="1" si="44"/>
        <v>1.7292898461538462</v>
      </c>
      <c r="BK109" s="707">
        <f t="shared" ca="1" si="45"/>
        <v>7197.1</v>
      </c>
      <c r="BL109" s="707">
        <f t="shared" ca="1" si="46"/>
        <v>599.75833333333333</v>
      </c>
      <c r="BM109" s="699">
        <f t="shared" ca="1" si="47"/>
        <v>0.38788400000000001</v>
      </c>
      <c r="BN109" s="699">
        <f ca="1">IF(Data!$C$59=1,TRUNC(($A43*0.9-BM109)/$P$90*2000*PI()*0.8,0),IF(Data!$C$59=2,TRUNC(($A43*0.8-(BM109+0.1))/$P$90*2000*PI()*0.8,0),""))</f>
        <v>1174</v>
      </c>
      <c r="BO109" s="699"/>
      <c r="BP109" s="699"/>
      <c r="BQ109" s="699"/>
      <c r="BR109" s="699"/>
      <c r="BS109" s="699"/>
      <c r="BT109" s="699"/>
      <c r="BU109" s="699"/>
      <c r="BV109" s="699"/>
      <c r="BW109" s="699"/>
      <c r="BX109" s="699"/>
      <c r="BY109" s="699"/>
      <c r="BZ109" s="699"/>
      <c r="CA109" s="699"/>
      <c r="CB109" s="699"/>
    </row>
    <row r="110" spans="1:80">
      <c r="A110" s="586">
        <f t="shared" ca="1" si="48"/>
        <v>0.80066666666666675</v>
      </c>
      <c r="B110" s="655">
        <f ca="1">0.48*$B$84</f>
        <v>3840</v>
      </c>
      <c r="C110" s="586">
        <f t="shared" ca="1" si="52"/>
        <v>-2.4444444444444465E-5</v>
      </c>
      <c r="D110" s="586">
        <f t="shared" ca="1" si="18"/>
        <v>0.80066666666666675</v>
      </c>
      <c r="M110" s="620" t="s">
        <v>1814</v>
      </c>
      <c r="N110" s="620" t="s">
        <v>89</v>
      </c>
      <c r="O110" s="620" t="s">
        <v>1852</v>
      </c>
      <c r="U110" s="707">
        <f t="shared" ca="1" si="21"/>
        <v>1280</v>
      </c>
      <c r="V110" s="707">
        <f t="shared" ca="1" si="22"/>
        <v>3840</v>
      </c>
      <c r="W110" s="704">
        <f t="shared" ca="1" si="23"/>
        <v>0.76079999999999992</v>
      </c>
      <c r="X110" s="704">
        <f t="shared" ca="1" si="24"/>
        <v>0.76079999999999992</v>
      </c>
      <c r="Y110" s="704" t="str">
        <f t="shared" ca="1" si="25"/>
        <v/>
      </c>
      <c r="Z110" s="704">
        <f ca="1">IF(Data!$E$83=1,Data!$L$117+Data!$F$59+X110/Data!$L$116/Data!$E$59/Data!$L$115,Data!$E$90+Data!$F$59+X110/Data!$G$90/Data!$E$59/Data!$D$90)</f>
        <v>0.84533333333333327</v>
      </c>
      <c r="AA110" s="705">
        <f t="shared" ca="1" si="26"/>
        <v>0.80066666666666675</v>
      </c>
      <c r="AB110" s="699">
        <f ca="1">IF(Data!$C$59=1,TRUNC(($A110*0.9-W110)/$P$92*2000*PI()*0.8,0),IF(Data!$C$59=2,TRUNC(($A110*0.8-(W110+0.1))/$P$92*2000*PI()*0.8,0),""))</f>
        <v>-10</v>
      </c>
      <c r="AC110" s="699"/>
      <c r="AD110" s="706"/>
      <c r="AE110" s="707">
        <f t="shared" ca="1" si="27"/>
        <v>640</v>
      </c>
      <c r="AF110" s="707">
        <f t="shared" ca="1" si="28"/>
        <v>3840</v>
      </c>
      <c r="AG110" s="704">
        <f t="shared" ca="1" si="29"/>
        <v>0.5072000000000001</v>
      </c>
      <c r="AH110" s="704">
        <f t="shared" ca="1" si="16"/>
        <v>0.5072000000000001</v>
      </c>
      <c r="AI110" s="705">
        <f t="shared" ca="1" si="30"/>
        <v>0.5635555555555557</v>
      </c>
      <c r="AJ110" s="704">
        <f ca="1">IF(Data!$E$83=1,Data!$L$117+Data!$F$59+AH110/Data!$L$116/Data!$E$59/Data!$L$115,Data!$E$90+Data!$F$59+AH110/Data!$G$90/Data!$E$59/Data!$D$90)</f>
        <v>0.5635555555555557</v>
      </c>
      <c r="AK110" s="704">
        <f t="shared" ca="1" si="31"/>
        <v>0.80066666666666675</v>
      </c>
      <c r="AL110" s="699">
        <f ca="1">IF(Data!$C$59=1,TRUNC(($A110*0.9-AG110)/$P$91*2000*PI()*0.8,0),IF(Data!$C$59=2,TRUNC(($A110*0.8-(AG110+0.1))/$P$91*2000*PI()*0.8,0),""))</f>
        <v>107</v>
      </c>
      <c r="AM110" s="706"/>
      <c r="AN110" s="707">
        <f t="shared" ca="1" si="32"/>
        <v>320</v>
      </c>
      <c r="AO110" s="707">
        <f t="shared" ca="1" si="33"/>
        <v>3840</v>
      </c>
      <c r="AP110" s="704">
        <f t="shared" ca="1" si="34"/>
        <v>0.25360000000000005</v>
      </c>
      <c r="AQ110" s="704">
        <f t="shared" ca="1" si="17"/>
        <v>0.25360000000000005</v>
      </c>
      <c r="AR110" s="704">
        <f t="shared" ca="1" si="35"/>
        <v>0.28177777777777785</v>
      </c>
      <c r="AS110" s="704">
        <f ca="1">IF(Data!$E$83=1,Data!$L$117+Data!$F$59+AQ110/Data!$L$116/Data!$E$59/Data!$L$115,Data!$E$90+Data!$F$59+AQ110/Data!$G$90/Data!$E$59/Data!$D$90)</f>
        <v>0.28177777777777785</v>
      </c>
      <c r="AT110" s="704">
        <f t="shared" ca="1" si="36"/>
        <v>0.80066666666666675</v>
      </c>
      <c r="AU110" s="699">
        <f ca="1">IF(Data!$C$59=1,TRUNC(($A110*0.9-AP110)/$P$90*2000*PI()*0.8,0),IF(Data!$C$59=2,TRUNC(($A110*0.8-(AP110+0.1))/$P$90*2000*PI()*0.8,0),""))</f>
        <v>469</v>
      </c>
      <c r="AV110" s="699"/>
      <c r="AW110" s="699"/>
      <c r="AX110" s="704">
        <f t="shared" ca="1" si="37"/>
        <v>1.6755808351648354</v>
      </c>
      <c r="AY110" s="707">
        <f t="shared" ca="1" si="38"/>
        <v>7307.4</v>
      </c>
      <c r="AZ110" s="707">
        <f t="shared" ca="1" si="39"/>
        <v>2435.7999999999997</v>
      </c>
      <c r="BA110" s="704">
        <f t="shared" ca="1" si="40"/>
        <v>1.1768879999999999</v>
      </c>
      <c r="BB110" s="699">
        <f ca="1">IF(Data!$C$59=1,TRUNC(($A44*0.9-BA110)/$P$92*2000*PI()*0.8,0),IF(Data!$C$59=2,TRUNC(($A44*0.8-(BA110+0.1))/$P$92*2000*PI()*0.8,0),""))</f>
        <v>83</v>
      </c>
      <c r="BC110" s="699"/>
      <c r="BD110" s="704">
        <f t="shared" ca="1" si="41"/>
        <v>1.6755808351648354</v>
      </c>
      <c r="BE110" s="707">
        <f t="shared" ca="1" si="42"/>
        <v>7307.4</v>
      </c>
      <c r="BF110" s="707">
        <f t="shared" ca="1" si="50"/>
        <v>1217.8999999999999</v>
      </c>
      <c r="BG110" s="699">
        <f t="shared" ca="1" si="43"/>
        <v>0.78459199999999996</v>
      </c>
      <c r="BH110" s="699">
        <f ca="1">IF(Data!$C$59=1,TRUNC(($A44*0.9-BG110)/$P$91*2000*PI()*0.8,0),IF(Data!$C$59=2,TRUNC(($A44*0.8-(BG110+0.1))/$P$91*2000*PI()*0.8,0),""))</f>
        <v>363</v>
      </c>
      <c r="BI110" s="699"/>
      <c r="BJ110" s="704">
        <f t="shared" ca="1" si="44"/>
        <v>1.6755808351648354</v>
      </c>
      <c r="BK110" s="707">
        <f t="shared" ca="1" si="45"/>
        <v>7307.4</v>
      </c>
      <c r="BL110" s="707">
        <f t="shared" ca="1" si="46"/>
        <v>608.94999999999993</v>
      </c>
      <c r="BM110" s="699">
        <f t="shared" ca="1" si="47"/>
        <v>0.39229599999999998</v>
      </c>
      <c r="BN110" s="699">
        <f ca="1">IF(Data!$C$59=1,TRUNC(($A44*0.9-BM110)/$P$90*2000*PI()*0.8,0),IF(Data!$C$59=2,TRUNC(($A44*0.8-(BM110+0.1))/$P$90*2000*PI()*0.8,0),""))</f>
        <v>1121</v>
      </c>
      <c r="BO110" s="699"/>
      <c r="BP110" s="699"/>
      <c r="BQ110" s="699"/>
      <c r="BR110" s="699"/>
      <c r="BS110" s="699"/>
      <c r="BT110" s="699"/>
      <c r="BU110" s="699"/>
      <c r="BV110" s="699"/>
      <c r="BW110" s="699"/>
      <c r="BX110" s="699"/>
      <c r="BY110" s="699"/>
      <c r="BZ110" s="699"/>
      <c r="CA110" s="699"/>
      <c r="CB110" s="699"/>
    </row>
    <row r="111" spans="1:80">
      <c r="A111" s="586">
        <f t="shared" ca="1" si="48"/>
        <v>0.79675555555555566</v>
      </c>
      <c r="B111" s="655">
        <f ca="1">0.5*$B$84</f>
        <v>4000</v>
      </c>
      <c r="C111" s="586">
        <f t="shared" ca="1" si="52"/>
        <v>-2.4444444444444465E-5</v>
      </c>
      <c r="D111" s="586">
        <f t="shared" ca="1" si="18"/>
        <v>0.79675555555555566</v>
      </c>
      <c r="U111" s="707">
        <f t="shared" ca="1" si="21"/>
        <v>1333.3333333333335</v>
      </c>
      <c r="V111" s="707">
        <f t="shared" ca="1" si="22"/>
        <v>4000</v>
      </c>
      <c r="W111" s="704">
        <f t="shared" ca="1" si="23"/>
        <v>0.78</v>
      </c>
      <c r="X111" s="704">
        <f t="shared" ca="1" si="24"/>
        <v>0.78</v>
      </c>
      <c r="Y111" s="704" t="str">
        <f t="shared" ca="1" si="25"/>
        <v/>
      </c>
      <c r="Z111" s="704">
        <f ca="1">IF(Data!$E$83=1,Data!$L$117+Data!$F$59+X111/Data!$L$116/Data!$E$59/Data!$L$115,Data!$E$90+Data!$F$59+X111/Data!$G$90/Data!$E$59/Data!$D$90)</f>
        <v>0.8666666666666667</v>
      </c>
      <c r="AA111" s="705">
        <f t="shared" ca="1" si="26"/>
        <v>0.79675555555555566</v>
      </c>
      <c r="AB111" s="699">
        <f ca="1">IF(Data!$C$59=1,TRUNC(($A111*0.9-W111)/$P$92*2000*PI()*0.8,0),IF(Data!$C$59=2,TRUNC(($A111*0.8-(W111+0.1))/$P$92*2000*PI()*0.8,0),""))</f>
        <v>-15</v>
      </c>
      <c r="AC111" s="699"/>
      <c r="AD111" s="706"/>
      <c r="AE111" s="707">
        <f t="shared" ca="1" si="27"/>
        <v>666.66666666666674</v>
      </c>
      <c r="AF111" s="707">
        <f t="shared" ca="1" si="28"/>
        <v>4000.0000000000005</v>
      </c>
      <c r="AG111" s="704">
        <f t="shared" ca="1" si="29"/>
        <v>0.52</v>
      </c>
      <c r="AH111" s="704">
        <f t="shared" ca="1" si="16"/>
        <v>0.52</v>
      </c>
      <c r="AI111" s="705">
        <f t="shared" ca="1" si="30"/>
        <v>0.57777777777777783</v>
      </c>
      <c r="AJ111" s="704">
        <f ca="1">IF(Data!$E$83=1,Data!$L$117+Data!$F$59+AH111/Data!$L$116/Data!$E$59/Data!$L$115,Data!$E$90+Data!$F$59+AH111/Data!$G$90/Data!$E$59/Data!$D$90)</f>
        <v>0.57777777777777783</v>
      </c>
      <c r="AK111" s="704">
        <f t="shared" ca="1" si="31"/>
        <v>0.79675555555555566</v>
      </c>
      <c r="AL111" s="699">
        <f ca="1">IF(Data!$C$59=1,TRUNC(($A111*0.9-AG111)/$P$91*2000*PI()*0.8,0),IF(Data!$C$59=2,TRUNC(($A111*0.8-(AG111+0.1))/$P$91*2000*PI()*0.8,0),""))</f>
        <v>99</v>
      </c>
      <c r="AM111" s="706"/>
      <c r="AN111" s="707">
        <f t="shared" ca="1" si="32"/>
        <v>333.33333333333337</v>
      </c>
      <c r="AO111" s="707">
        <f t="shared" ca="1" si="33"/>
        <v>4000.0000000000005</v>
      </c>
      <c r="AP111" s="704">
        <f t="shared" ca="1" si="34"/>
        <v>0.26</v>
      </c>
      <c r="AQ111" s="704">
        <f t="shared" ca="1" si="17"/>
        <v>0.26</v>
      </c>
      <c r="AR111" s="704">
        <f t="shared" ca="1" si="35"/>
        <v>0.28888888888888892</v>
      </c>
      <c r="AS111" s="704">
        <f ca="1">IF(Data!$E$83=1,Data!$L$117+Data!$F$59+AQ111/Data!$L$116/Data!$E$59/Data!$L$115,Data!$E$90+Data!$F$59+AQ111/Data!$G$90/Data!$E$59/Data!$D$90)</f>
        <v>0.28888888888888892</v>
      </c>
      <c r="AT111" s="704">
        <f t="shared" ca="1" si="36"/>
        <v>0.79675555555555566</v>
      </c>
      <c r="AU111" s="699">
        <f ca="1">IF(Data!$C$59=1,TRUNC(($A111*0.9-AP111)/$P$90*2000*PI()*0.8,0),IF(Data!$C$59=2,TRUNC(($A111*0.8-(AP111+0.1))/$P$90*2000*PI()*0.8,0),""))</f>
        <v>459</v>
      </c>
      <c r="AV111" s="699"/>
      <c r="AW111" s="699"/>
      <c r="AX111" s="704">
        <f t="shared" ca="1" si="37"/>
        <v>1.6212754285714288</v>
      </c>
      <c r="AY111" s="707">
        <f t="shared" ca="1" si="38"/>
        <v>7418.7</v>
      </c>
      <c r="AZ111" s="707">
        <f t="shared" ca="1" si="39"/>
        <v>2472.9</v>
      </c>
      <c r="BA111" s="704">
        <f t="shared" ca="1" si="40"/>
        <v>1.1902440000000001</v>
      </c>
      <c r="BB111" s="699">
        <f ca="1">IF(Data!$C$59=1,TRUNC(($A45*0.9-BA111)/$P$92*2000*PI()*0.8,0),IF(Data!$C$59=2,TRUNC(($A45*0.8-(BA111+0.1))/$P$92*2000*PI()*0.8,0),""))</f>
        <v>67</v>
      </c>
      <c r="BC111" s="699"/>
      <c r="BD111" s="704">
        <f t="shared" ca="1" si="41"/>
        <v>1.6212754285714288</v>
      </c>
      <c r="BE111" s="707">
        <f t="shared" ca="1" si="42"/>
        <v>7418.7</v>
      </c>
      <c r="BF111" s="707">
        <f t="shared" ca="1" si="50"/>
        <v>1236.45</v>
      </c>
      <c r="BG111" s="699">
        <f t="shared" ca="1" si="43"/>
        <v>0.79349599999999998</v>
      </c>
      <c r="BH111" s="699">
        <f ca="1">IF(Data!$C$59=1,TRUNC(($A45*0.9-BG111)/$P$91*2000*PI()*0.8,0),IF(Data!$C$59=2,TRUNC(($A45*0.8-(BG111+0.1))/$P$91*2000*PI()*0.8,0),""))</f>
        <v>334</v>
      </c>
      <c r="BI111" s="699"/>
      <c r="BJ111" s="704">
        <f t="shared" ca="1" si="44"/>
        <v>1.6212754285714288</v>
      </c>
      <c r="BK111" s="707">
        <f t="shared" ca="1" si="45"/>
        <v>7418.7</v>
      </c>
      <c r="BL111" s="707">
        <f t="shared" ca="1" si="46"/>
        <v>618.22500000000002</v>
      </c>
      <c r="BM111" s="699">
        <f t="shared" ca="1" si="47"/>
        <v>0.39674799999999999</v>
      </c>
      <c r="BN111" s="699">
        <f ca="1">IF(Data!$C$59=1,TRUNC(($A45*0.9-BM111)/$P$90*2000*PI()*0.8,0),IF(Data!$C$59=2,TRUNC(($A45*0.8-(BM111+0.1))/$P$90*2000*PI()*0.8,0),""))</f>
        <v>1068</v>
      </c>
      <c r="BO111" s="699"/>
      <c r="BP111" s="699"/>
      <c r="BQ111" s="699"/>
      <c r="BR111" s="699"/>
      <c r="BS111" s="699"/>
      <c r="BT111" s="699"/>
      <c r="BU111" s="699"/>
      <c r="BV111" s="699"/>
      <c r="BW111" s="699"/>
      <c r="BX111" s="699"/>
      <c r="BY111" s="699"/>
      <c r="BZ111" s="699"/>
      <c r="CA111" s="699"/>
      <c r="CB111" s="699"/>
    </row>
    <row r="112" spans="1:80">
      <c r="A112" s="586">
        <f t="shared" ca="1" si="48"/>
        <v>0.79284444444444457</v>
      </c>
      <c r="B112" s="655">
        <f ca="1">0.52*$B$84</f>
        <v>4160</v>
      </c>
      <c r="C112" s="586">
        <f t="shared" ca="1" si="52"/>
        <v>-2.4444444444444465E-5</v>
      </c>
      <c r="D112" s="586">
        <f t="shared" ca="1" si="18"/>
        <v>0.79284444444444457</v>
      </c>
      <c r="M112" s="620" t="s">
        <v>12</v>
      </c>
      <c r="N112" s="620" t="s">
        <v>1823</v>
      </c>
      <c r="U112" s="707">
        <f t="shared" ca="1" si="21"/>
        <v>1386.6666666666665</v>
      </c>
      <c r="V112" s="707">
        <f t="shared" ca="1" si="22"/>
        <v>4160</v>
      </c>
      <c r="W112" s="704">
        <f t="shared" ca="1" si="23"/>
        <v>0.79919999999999991</v>
      </c>
      <c r="X112" s="704">
        <f t="shared" ca="1" si="24"/>
        <v>0.79919999999999991</v>
      </c>
      <c r="Y112" s="704" t="str">
        <f t="shared" ca="1" si="25"/>
        <v/>
      </c>
      <c r="Z112" s="704">
        <f ca="1">IF(Data!$E$83=1,Data!$L$117+Data!$F$59+X112/Data!$L$116/Data!$E$59/Data!$L$115,Data!$E$90+Data!$F$59+X112/Data!$G$90/Data!$E$59/Data!$D$90)</f>
        <v>0.8879999999999999</v>
      </c>
      <c r="AA112" s="705">
        <f t="shared" ca="1" si="26"/>
        <v>0.79284444444444457</v>
      </c>
      <c r="AB112" s="699">
        <f ca="1">IF(Data!$C$59=1,TRUNC(($A112*0.9-W112)/$P$92*2000*PI()*0.8,0),IF(Data!$C$59=2,TRUNC(($A112*0.8-(W112+0.1))/$P$92*2000*PI()*0.8,0),""))</f>
        <v>-21</v>
      </c>
      <c r="AC112" s="699"/>
      <c r="AD112" s="706"/>
      <c r="AE112" s="707">
        <f t="shared" ca="1" si="27"/>
        <v>693.33333333333326</v>
      </c>
      <c r="AF112" s="707">
        <f t="shared" ca="1" si="28"/>
        <v>4160</v>
      </c>
      <c r="AG112" s="704">
        <f t="shared" ca="1" si="29"/>
        <v>0.53279999999999994</v>
      </c>
      <c r="AH112" s="704">
        <f t="shared" ca="1" si="16"/>
        <v>0.53279999999999994</v>
      </c>
      <c r="AI112" s="705">
        <f t="shared" ca="1" si="30"/>
        <v>0.59199999999999997</v>
      </c>
      <c r="AJ112" s="704">
        <f ca="1">IF(Data!$E$83=1,Data!$L$117+Data!$F$59+AH112/Data!$L$116/Data!$E$59/Data!$L$115,Data!$E$90+Data!$F$59+AH112/Data!$G$90/Data!$E$59/Data!$D$90)</f>
        <v>0.59199999999999997</v>
      </c>
      <c r="AK112" s="704">
        <f t="shared" ca="1" si="31"/>
        <v>0.79284444444444457</v>
      </c>
      <c r="AL112" s="699">
        <f ca="1">IF(Data!$C$59=1,TRUNC(($A112*0.9-AG112)/$P$91*2000*PI()*0.8,0),IF(Data!$C$59=2,TRUNC(($A112*0.8-(AG112+0.1))/$P$91*2000*PI()*0.8,0),""))</f>
        <v>90</v>
      </c>
      <c r="AM112" s="706"/>
      <c r="AN112" s="707">
        <f t="shared" ca="1" si="32"/>
        <v>346.66666666666663</v>
      </c>
      <c r="AO112" s="707">
        <f t="shared" ca="1" si="33"/>
        <v>4160</v>
      </c>
      <c r="AP112" s="704">
        <f t="shared" ca="1" si="34"/>
        <v>0.26639999999999997</v>
      </c>
      <c r="AQ112" s="704">
        <f t="shared" ca="1" si="17"/>
        <v>0.26639999999999997</v>
      </c>
      <c r="AR112" s="704">
        <f t="shared" ca="1" si="35"/>
        <v>0.29599999999999999</v>
      </c>
      <c r="AS112" s="704">
        <f ca="1">IF(Data!$E$83=1,Data!$L$117+Data!$F$59+AQ112/Data!$L$116/Data!$E$59/Data!$L$115,Data!$E$90+Data!$F$59+AQ112/Data!$G$90/Data!$E$59/Data!$D$90)</f>
        <v>0.29599999999999999</v>
      </c>
      <c r="AT112" s="704">
        <f t="shared" ca="1" si="36"/>
        <v>0.79284444444444457</v>
      </c>
      <c r="AU112" s="699">
        <f ca="1">IF(Data!$C$59=1,TRUNC(($A112*0.9-AP112)/$P$90*2000*PI()*0.8,0),IF(Data!$C$59=2,TRUNC(($A112*0.8-(AP112+0.1))/$P$90*2000*PI()*0.8,0),""))</f>
        <v>449</v>
      </c>
      <c r="AV112" s="699"/>
      <c r="AW112" s="699"/>
      <c r="AX112" s="704">
        <f t="shared" ca="1" si="37"/>
        <v>1.5663736263736265</v>
      </c>
      <c r="AY112" s="707">
        <f t="shared" ca="1" si="38"/>
        <v>7530.8</v>
      </c>
      <c r="AZ112" s="707">
        <f t="shared" ca="1" si="39"/>
        <v>2510.2666666666669</v>
      </c>
      <c r="BA112" s="704">
        <f t="shared" ca="1" si="40"/>
        <v>1.2036959999999999</v>
      </c>
      <c r="BB112" s="699">
        <f ca="1">IF(Data!$C$59=1,TRUNC(($A46*0.9-BA112)/$P$92*2000*PI()*0.8,0),IF(Data!$C$59=2,TRUNC(($A46*0.8-(BA112+0.1))/$P$92*2000*PI()*0.8,0),""))</f>
        <v>51</v>
      </c>
      <c r="BC112" s="699"/>
      <c r="BD112" s="704">
        <f t="shared" ca="1" si="41"/>
        <v>1.5663736263736265</v>
      </c>
      <c r="BE112" s="707">
        <f t="shared" ca="1" si="42"/>
        <v>7530.8</v>
      </c>
      <c r="BF112" s="707">
        <f t="shared" ca="1" si="50"/>
        <v>1255.1333333333334</v>
      </c>
      <c r="BG112" s="699">
        <f t="shared" ca="1" si="43"/>
        <v>0.80246400000000007</v>
      </c>
      <c r="BH112" s="699">
        <f ca="1">IF(Data!$C$59=1,TRUNC(($A46*0.9-BG112)/$P$91*2000*PI()*0.8,0),IF(Data!$C$59=2,TRUNC(($A46*0.8-(BG112+0.1))/$P$91*2000*PI()*0.8,0),""))</f>
        <v>305</v>
      </c>
      <c r="BI112" s="699"/>
      <c r="BJ112" s="704">
        <f t="shared" ca="1" si="44"/>
        <v>1.5663736263736265</v>
      </c>
      <c r="BK112" s="707">
        <f t="shared" ca="1" si="45"/>
        <v>7530.8</v>
      </c>
      <c r="BL112" s="707">
        <f t="shared" ca="1" si="46"/>
        <v>627.56666666666672</v>
      </c>
      <c r="BM112" s="699">
        <f t="shared" ca="1" si="47"/>
        <v>0.40123200000000003</v>
      </c>
      <c r="BN112" s="699">
        <f ca="1">IF(Data!$C$59=1,TRUNC(($A46*0.9-BM112)/$P$90*2000*PI()*0.8,0),IF(Data!$C$59=2,TRUNC(($A46*0.8-(BM112+0.1))/$P$90*2000*PI()*0.8,0),""))</f>
        <v>1013</v>
      </c>
      <c r="BO112" s="699"/>
      <c r="BP112" s="699"/>
      <c r="BQ112" s="699"/>
      <c r="BR112" s="699"/>
      <c r="BS112" s="699"/>
      <c r="BT112" s="699"/>
      <c r="BU112" s="699"/>
      <c r="BV112" s="699"/>
      <c r="BW112" s="699"/>
      <c r="BX112" s="699"/>
      <c r="BY112" s="699"/>
      <c r="BZ112" s="699"/>
      <c r="CA112" s="699"/>
      <c r="CB112" s="699"/>
    </row>
    <row r="113" spans="1:80">
      <c r="A113" s="586">
        <f t="shared" ca="1" si="48"/>
        <v>0.78893333333333349</v>
      </c>
      <c r="B113" s="655">
        <f ca="1">0.54*$B$84</f>
        <v>4320</v>
      </c>
      <c r="C113" s="586">
        <f t="shared" ca="1" si="52"/>
        <v>-2.4444444444444465E-5</v>
      </c>
      <c r="D113" s="586">
        <f t="shared" ca="1" si="18"/>
        <v>0.78893333333333349</v>
      </c>
      <c r="M113" s="620">
        <v>1666</v>
      </c>
      <c r="N113" s="620">
        <v>0</v>
      </c>
      <c r="U113" s="707">
        <f t="shared" ca="1" si="21"/>
        <v>1440</v>
      </c>
      <c r="V113" s="707">
        <f t="shared" ca="1" si="22"/>
        <v>4320</v>
      </c>
      <c r="W113" s="704">
        <f t="shared" ca="1" si="23"/>
        <v>0.81840000000000002</v>
      </c>
      <c r="X113" s="704">
        <f t="shared" ca="1" si="24"/>
        <v>0.81840000000000002</v>
      </c>
      <c r="Y113" s="704" t="str">
        <f t="shared" ca="1" si="25"/>
        <v/>
      </c>
      <c r="Z113" s="704">
        <f ca="1">IF(Data!$E$83=1,Data!$L$117+Data!$F$59+X113/Data!$L$116/Data!$E$59/Data!$L$115,Data!$E$90+Data!$F$59+X113/Data!$G$90/Data!$E$59/Data!$D$90)</f>
        <v>0.90933333333333333</v>
      </c>
      <c r="AA113" s="705">
        <f t="shared" ca="1" si="26"/>
        <v>0.78893333333333349</v>
      </c>
      <c r="AB113" s="699">
        <f ca="1">IF(Data!$C$59=1,TRUNC(($A113*0.9-W113)/$P$92*2000*PI()*0.8,0),IF(Data!$C$59=2,TRUNC(($A113*0.8-(W113+0.1))/$P$92*2000*PI()*0.8,0),""))</f>
        <v>-27</v>
      </c>
      <c r="AC113" s="699"/>
      <c r="AD113" s="706"/>
      <c r="AE113" s="707">
        <f t="shared" ca="1" si="27"/>
        <v>720</v>
      </c>
      <c r="AF113" s="707">
        <f t="shared" ca="1" si="28"/>
        <v>4320</v>
      </c>
      <c r="AG113" s="704">
        <f t="shared" ca="1" si="29"/>
        <v>0.54560000000000008</v>
      </c>
      <c r="AH113" s="704">
        <f t="shared" ca="1" si="16"/>
        <v>0.54560000000000008</v>
      </c>
      <c r="AI113" s="705">
        <f t="shared" ca="1" si="30"/>
        <v>0.60622222222222233</v>
      </c>
      <c r="AJ113" s="704">
        <f ca="1">IF(Data!$E$83=1,Data!$L$117+Data!$F$59+AH113/Data!$L$116/Data!$E$59/Data!$L$115,Data!$E$90+Data!$F$59+AH113/Data!$G$90/Data!$E$59/Data!$D$90)</f>
        <v>0.60622222222222233</v>
      </c>
      <c r="AK113" s="704">
        <f t="shared" ca="1" si="31"/>
        <v>0.78893333333333349</v>
      </c>
      <c r="AL113" s="699">
        <f ca="1">IF(Data!$C$59=1,TRUNC(($A113*0.9-AG113)/$P$91*2000*PI()*0.8,0),IF(Data!$C$59=2,TRUNC(($A113*0.8-(AG113+0.1))/$P$91*2000*PI()*0.8,0),""))</f>
        <v>82</v>
      </c>
      <c r="AM113" s="706"/>
      <c r="AN113" s="707">
        <f t="shared" ca="1" si="32"/>
        <v>360</v>
      </c>
      <c r="AO113" s="707">
        <f t="shared" ca="1" si="33"/>
        <v>4320</v>
      </c>
      <c r="AP113" s="704">
        <f t="shared" ca="1" si="34"/>
        <v>0.27280000000000004</v>
      </c>
      <c r="AQ113" s="704">
        <f t="shared" ca="1" si="17"/>
        <v>0.27280000000000004</v>
      </c>
      <c r="AR113" s="704">
        <f t="shared" ca="1" si="35"/>
        <v>0.30311111111111116</v>
      </c>
      <c r="AS113" s="704">
        <f ca="1">IF(Data!$E$83=1,Data!$L$117+Data!$F$59+AQ113/Data!$L$116/Data!$E$59/Data!$L$115,Data!$E$90+Data!$F$59+AQ113/Data!$G$90/Data!$E$59/Data!$D$90)</f>
        <v>0.30311111111111116</v>
      </c>
      <c r="AT113" s="704">
        <f t="shared" ca="1" si="36"/>
        <v>0.78893333333333349</v>
      </c>
      <c r="AU113" s="699">
        <f ca="1">IF(Data!$C$59=1,TRUNC(($A113*0.9-AP113)/$P$90*2000*PI()*0.8,0),IF(Data!$C$59=2,TRUNC(($A113*0.8-(AP113+0.1))/$P$90*2000*PI()*0.8,0),""))</f>
        <v>439</v>
      </c>
      <c r="AV113" s="699"/>
      <c r="AW113" s="699"/>
      <c r="AX113" s="704">
        <f t="shared" ca="1" si="37"/>
        <v>1.5108754285714285</v>
      </c>
      <c r="AY113" s="707">
        <f t="shared" ca="1" si="38"/>
        <v>7643.7</v>
      </c>
      <c r="AZ113" s="707">
        <f t="shared" ca="1" si="39"/>
        <v>2547.9</v>
      </c>
      <c r="BA113" s="704">
        <f t="shared" ca="1" si="40"/>
        <v>1.217244</v>
      </c>
      <c r="BB113" s="699">
        <f ca="1">IF(Data!$C$59=1,TRUNC(($A47*0.9-BA113)/$P$92*2000*PI()*0.8,0),IF(Data!$C$59=2,TRUNC(($A47*0.8-(BA113+0.1))/$P$92*2000*PI()*0.8,0),""))</f>
        <v>35</v>
      </c>
      <c r="BC113" s="699"/>
      <c r="BD113" s="704">
        <f t="shared" ca="1" si="41"/>
        <v>1.5108754285714285</v>
      </c>
      <c r="BE113" s="707">
        <f t="shared" ca="1" si="42"/>
        <v>7643.7</v>
      </c>
      <c r="BF113" s="707">
        <f t="shared" ca="1" si="50"/>
        <v>1273.95</v>
      </c>
      <c r="BG113" s="699">
        <f t="shared" ca="1" si="43"/>
        <v>0.811496</v>
      </c>
      <c r="BH113" s="699">
        <f ca="1">IF(Data!$C$59=1,TRUNC(($A47*0.9-BG113)/$P$91*2000*PI()*0.8,0),IF(Data!$C$59=2,TRUNC(($A47*0.8-(BG113+0.1))/$P$91*2000*PI()*0.8,0),""))</f>
        <v>275</v>
      </c>
      <c r="BI113" s="699"/>
      <c r="BJ113" s="704">
        <f t="shared" ca="1" si="44"/>
        <v>1.5108754285714285</v>
      </c>
      <c r="BK113" s="707">
        <f t="shared" ca="1" si="45"/>
        <v>7643.7</v>
      </c>
      <c r="BL113" s="707">
        <f t="shared" ca="1" si="46"/>
        <v>636.97500000000002</v>
      </c>
      <c r="BM113" s="699">
        <f t="shared" ca="1" si="47"/>
        <v>0.405748</v>
      </c>
      <c r="BN113" s="699">
        <f ca="1">IF(Data!$C$59=1,TRUNC(($A47*0.9-BM113)/$P$90*2000*PI()*0.8,0),IF(Data!$C$59=2,TRUNC(($A47*0.8-(BM113+0.1))/$P$90*2000*PI()*0.8,0),""))</f>
        <v>959</v>
      </c>
      <c r="BO113" s="699"/>
      <c r="BP113" s="699"/>
      <c r="BQ113" s="699"/>
      <c r="BR113" s="699"/>
      <c r="BS113" s="699"/>
      <c r="BT113" s="699"/>
      <c r="BU113" s="699"/>
      <c r="BV113" s="699"/>
      <c r="BW113" s="699"/>
      <c r="BX113" s="699"/>
      <c r="BY113" s="699"/>
      <c r="BZ113" s="699"/>
      <c r="CA113" s="699"/>
      <c r="CB113" s="699"/>
    </row>
    <row r="114" spans="1:80">
      <c r="A114" s="586">
        <f t="shared" ca="1" si="48"/>
        <v>0.7850222222222224</v>
      </c>
      <c r="B114" s="655">
        <f ca="1">0.56*$B$84</f>
        <v>4480</v>
      </c>
      <c r="C114" s="586">
        <f t="shared" ca="1" si="52"/>
        <v>-2.4444444444444465E-5</v>
      </c>
      <c r="D114" s="586">
        <f t="shared" ca="1" si="18"/>
        <v>0.7850222222222224</v>
      </c>
      <c r="M114" s="620">
        <v>1666</v>
      </c>
      <c r="N114" s="620">
        <v>55</v>
      </c>
      <c r="U114" s="707">
        <f t="shared" ca="1" si="21"/>
        <v>1493.3333333333335</v>
      </c>
      <c r="V114" s="707">
        <f t="shared" ca="1" si="22"/>
        <v>4480</v>
      </c>
      <c r="W114" s="704">
        <f t="shared" ca="1" si="23"/>
        <v>0.8375999999999999</v>
      </c>
      <c r="X114" s="704">
        <f t="shared" ca="1" si="24"/>
        <v>0.8375999999999999</v>
      </c>
      <c r="Y114" s="704" t="str">
        <f t="shared" ca="1" si="25"/>
        <v/>
      </c>
      <c r="Z114" s="704">
        <f ca="1">IF(Data!$E$83=1,Data!$L$117+Data!$F$59+X114/Data!$L$116/Data!$E$59/Data!$L$115,Data!$E$90+Data!$F$59+X114/Data!$G$90/Data!$E$59/Data!$D$90)</f>
        <v>0.93066666666666653</v>
      </c>
      <c r="AA114" s="705">
        <f t="shared" ca="1" si="26"/>
        <v>0.7850222222222224</v>
      </c>
      <c r="AB114" s="699">
        <f ca="1">IF(Data!$C$59=1,TRUNC(($A114*0.9-W114)/$P$92*2000*PI()*0.8,0),IF(Data!$C$59=2,TRUNC(($A114*0.8-(W114+0.1))/$P$92*2000*PI()*0.8,0),""))</f>
        <v>-32</v>
      </c>
      <c r="AC114" s="699"/>
      <c r="AD114" s="706"/>
      <c r="AE114" s="707">
        <f t="shared" ca="1" si="27"/>
        <v>746.66666666666674</v>
      </c>
      <c r="AF114" s="707">
        <f t="shared" ca="1" si="28"/>
        <v>4480</v>
      </c>
      <c r="AG114" s="704">
        <f t="shared" ca="1" si="29"/>
        <v>0.55840000000000001</v>
      </c>
      <c r="AH114" s="704">
        <f t="shared" ca="1" si="16"/>
        <v>0.55840000000000001</v>
      </c>
      <c r="AI114" s="705">
        <f t="shared" ca="1" si="30"/>
        <v>0.62044444444444447</v>
      </c>
      <c r="AJ114" s="704">
        <f ca="1">IF(Data!$E$83=1,Data!$L$117+Data!$F$59+AH114/Data!$L$116/Data!$E$59/Data!$L$115,Data!$E$90+Data!$F$59+AH114/Data!$G$90/Data!$E$59/Data!$D$90)</f>
        <v>0.62044444444444447</v>
      </c>
      <c r="AK114" s="704">
        <f t="shared" ca="1" si="31"/>
        <v>0.7850222222222224</v>
      </c>
      <c r="AL114" s="699">
        <f ca="1">IF(Data!$C$59=1,TRUNC(($A114*0.9-AG114)/$P$91*2000*PI()*0.8,0),IF(Data!$C$59=2,TRUNC(($A114*0.8-(AG114+0.1))/$P$91*2000*PI()*0.8,0),""))</f>
        <v>74</v>
      </c>
      <c r="AM114" s="706"/>
      <c r="AN114" s="707">
        <f t="shared" ca="1" si="32"/>
        <v>373.33333333333337</v>
      </c>
      <c r="AO114" s="707">
        <f t="shared" ca="1" si="33"/>
        <v>4480</v>
      </c>
      <c r="AP114" s="704">
        <f t="shared" ca="1" si="34"/>
        <v>0.2792</v>
      </c>
      <c r="AQ114" s="704">
        <f t="shared" ca="1" si="17"/>
        <v>0.2792</v>
      </c>
      <c r="AR114" s="704">
        <f t="shared" ca="1" si="35"/>
        <v>0.31022222222222223</v>
      </c>
      <c r="AS114" s="704">
        <f ca="1">IF(Data!$E$83=1,Data!$L$117+Data!$F$59+AQ114/Data!$L$116/Data!$E$59/Data!$L$115,Data!$E$90+Data!$F$59+AQ114/Data!$G$90/Data!$E$59/Data!$D$90)</f>
        <v>0.31022222222222223</v>
      </c>
      <c r="AT114" s="704">
        <f t="shared" ca="1" si="36"/>
        <v>0.7850222222222224</v>
      </c>
      <c r="AU114" s="699">
        <f ca="1">IF(Data!$C$59=1,TRUNC(($A114*0.9-AP114)/$P$90*2000*PI()*0.8,0),IF(Data!$C$59=2,TRUNC(($A114*0.8-(AP114+0.1))/$P$90*2000*PI()*0.8,0),""))</f>
        <v>429</v>
      </c>
      <c r="AV114" s="699"/>
      <c r="AW114" s="699"/>
      <c r="AX114" s="704">
        <f t="shared" ca="1" si="37"/>
        <v>1.4547808351648353</v>
      </c>
      <c r="AY114" s="707">
        <f t="shared" ca="1" si="38"/>
        <v>7757.2</v>
      </c>
      <c r="AZ114" s="707">
        <f t="shared" ca="1" si="39"/>
        <v>2585.7333333333331</v>
      </c>
      <c r="BA114" s="704">
        <f t="shared" ca="1" si="40"/>
        <v>1.230864</v>
      </c>
      <c r="BB114" s="699">
        <f ca="1">IF(Data!$C$59=1,TRUNC(($A48*0.9-BA114)/$P$92*2000*PI()*0.8,0),IF(Data!$C$59=2,TRUNC(($A48*0.8-(BA114+0.1))/$P$92*2000*PI()*0.8,0),""))</f>
        <v>19</v>
      </c>
      <c r="BC114" s="699"/>
      <c r="BD114" s="704">
        <f t="shared" ca="1" si="41"/>
        <v>1.4547808351648353</v>
      </c>
      <c r="BE114" s="707">
        <f t="shared" ca="1" si="42"/>
        <v>7757.2</v>
      </c>
      <c r="BF114" s="707">
        <f t="shared" ca="1" si="50"/>
        <v>1292.8666666666666</v>
      </c>
      <c r="BG114" s="699">
        <f t="shared" ca="1" si="43"/>
        <v>0.82057599999999997</v>
      </c>
      <c r="BH114" s="699">
        <f ca="1">IF(Data!$C$59=1,TRUNC(($A48*0.9-BG114)/$P$91*2000*PI()*0.8,0),IF(Data!$C$59=2,TRUNC(($A48*0.8-(BG114+0.1))/$P$91*2000*PI()*0.8,0),""))</f>
        <v>245</v>
      </c>
      <c r="BI114" s="699"/>
      <c r="BJ114" s="704">
        <f t="shared" ca="1" si="44"/>
        <v>1.4547808351648353</v>
      </c>
      <c r="BK114" s="707">
        <f t="shared" ca="1" si="45"/>
        <v>7757.2</v>
      </c>
      <c r="BL114" s="707">
        <f t="shared" ca="1" si="46"/>
        <v>646.43333333333328</v>
      </c>
      <c r="BM114" s="699">
        <f t="shared" ca="1" si="47"/>
        <v>0.41028799999999999</v>
      </c>
      <c r="BN114" s="699">
        <f ca="1">IF(Data!$C$59=1,TRUNC(($A48*0.9-BM114)/$P$90*2000*PI()*0.8,0),IF(Data!$C$59=2,TRUNC(($A48*0.8-(BM114+0.1))/$P$90*2000*PI()*0.8,0),""))</f>
        <v>903</v>
      </c>
      <c r="BO114" s="699"/>
      <c r="BP114" s="699"/>
      <c r="BQ114" s="699"/>
      <c r="BR114" s="699"/>
      <c r="BS114" s="699"/>
      <c r="BT114" s="699"/>
      <c r="BU114" s="699"/>
      <c r="BV114" s="699"/>
      <c r="BW114" s="699"/>
      <c r="BX114" s="699"/>
      <c r="BY114" s="699"/>
      <c r="BZ114" s="699"/>
      <c r="CA114" s="699"/>
      <c r="CB114" s="699"/>
    </row>
    <row r="115" spans="1:80">
      <c r="A115" s="586">
        <f t="shared" ca="1" si="48"/>
        <v>0.78111111111111131</v>
      </c>
      <c r="B115" s="655">
        <f ca="1">0.58*$B$84</f>
        <v>4640</v>
      </c>
      <c r="C115" s="586">
        <f t="shared" ca="1" si="52"/>
        <v>-2.4444444444444465E-5</v>
      </c>
      <c r="D115" s="586">
        <f t="shared" ca="1" si="18"/>
        <v>0.78111111111111131</v>
      </c>
      <c r="M115" s="620">
        <v>1500</v>
      </c>
      <c r="N115" s="620">
        <v>70</v>
      </c>
      <c r="U115" s="707">
        <f t="shared" ca="1" si="21"/>
        <v>1546.6666666666665</v>
      </c>
      <c r="V115" s="707">
        <f t="shared" ca="1" si="22"/>
        <v>4640</v>
      </c>
      <c r="W115" s="704">
        <f t="shared" ca="1" si="23"/>
        <v>0.85680000000000001</v>
      </c>
      <c r="X115" s="704">
        <f t="shared" ca="1" si="24"/>
        <v>0.85680000000000001</v>
      </c>
      <c r="Y115" s="704" t="str">
        <f t="shared" ca="1" si="25"/>
        <v/>
      </c>
      <c r="Z115" s="704">
        <f ca="1">IF(Data!$E$83=1,Data!$L$117+Data!$F$59+X115/Data!$L$116/Data!$E$59/Data!$L$115,Data!$E$90+Data!$F$59+X115/Data!$G$90/Data!$E$59/Data!$D$90)</f>
        <v>0.95199999999999996</v>
      </c>
      <c r="AA115" s="705">
        <f t="shared" ca="1" si="26"/>
        <v>0.78111111111111131</v>
      </c>
      <c r="AB115" s="699">
        <f ca="1">IF(Data!$C$59=1,TRUNC(($A115*0.9-W115)/$P$92*2000*PI()*0.8,0),IF(Data!$C$59=2,TRUNC(($A115*0.8-(W115+0.1))/$P$92*2000*PI()*0.8,0),""))</f>
        <v>-38</v>
      </c>
      <c r="AC115" s="699"/>
      <c r="AD115" s="706"/>
      <c r="AE115" s="707">
        <f t="shared" ca="1" si="27"/>
        <v>773.33333333333326</v>
      </c>
      <c r="AF115" s="707">
        <f t="shared" ca="1" si="28"/>
        <v>4640</v>
      </c>
      <c r="AG115" s="704">
        <f t="shared" ca="1" si="29"/>
        <v>0.57120000000000004</v>
      </c>
      <c r="AH115" s="704">
        <f t="shared" ca="1" si="16"/>
        <v>0.57120000000000004</v>
      </c>
      <c r="AI115" s="705">
        <f t="shared" ca="1" si="30"/>
        <v>0.63466666666666671</v>
      </c>
      <c r="AJ115" s="704">
        <f ca="1">IF(Data!$E$83=1,Data!$L$117+Data!$F$59+AH115/Data!$L$116/Data!$E$59/Data!$L$115,Data!$E$90+Data!$F$59+AH115/Data!$G$90/Data!$E$59/Data!$D$90)</f>
        <v>0.63466666666666671</v>
      </c>
      <c r="AK115" s="704">
        <f t="shared" ca="1" si="31"/>
        <v>0.78111111111111131</v>
      </c>
      <c r="AL115" s="699">
        <f ca="1">IF(Data!$C$59=1,TRUNC(($A115*0.9-AG115)/$P$91*2000*PI()*0.8,0),IF(Data!$C$59=2,TRUNC(($A115*0.8-(AG115+0.1))/$P$91*2000*PI()*0.8,0),""))</f>
        <v>66</v>
      </c>
      <c r="AM115" s="706"/>
      <c r="AN115" s="707">
        <f t="shared" ca="1" si="32"/>
        <v>386.66666666666663</v>
      </c>
      <c r="AO115" s="707">
        <f t="shared" ca="1" si="33"/>
        <v>4640</v>
      </c>
      <c r="AP115" s="704">
        <f t="shared" ca="1" si="34"/>
        <v>0.28560000000000002</v>
      </c>
      <c r="AQ115" s="704">
        <f t="shared" ca="1" si="17"/>
        <v>0.28560000000000002</v>
      </c>
      <c r="AR115" s="704">
        <f t="shared" ca="1" si="35"/>
        <v>0.31733333333333336</v>
      </c>
      <c r="AS115" s="704">
        <f ca="1">IF(Data!$E$83=1,Data!$L$117+Data!$F$59+AQ115/Data!$L$116/Data!$E$59/Data!$L$115,Data!$E$90+Data!$F$59+AQ115/Data!$G$90/Data!$E$59/Data!$D$90)</f>
        <v>0.31733333333333336</v>
      </c>
      <c r="AT115" s="704">
        <f t="shared" ca="1" si="36"/>
        <v>0.78111111111111131</v>
      </c>
      <c r="AU115" s="699">
        <f ca="1">IF(Data!$C$59=1,TRUNC(($A115*0.9-AP115)/$P$90*2000*PI()*0.8,0),IF(Data!$C$59=2,TRUNC(($A115*0.8-(AP115+0.1))/$P$90*2000*PI()*0.8,0),""))</f>
        <v>419</v>
      </c>
      <c r="AV115" s="699"/>
      <c r="AW115" s="699"/>
      <c r="AX115" s="704">
        <f t="shared" ca="1" si="37"/>
        <v>1.398089846153846</v>
      </c>
      <c r="AY115" s="707">
        <f t="shared" ca="1" si="38"/>
        <v>7871.1</v>
      </c>
      <c r="AZ115" s="707">
        <f t="shared" ca="1" si="39"/>
        <v>2623.7</v>
      </c>
      <c r="BA115" s="704">
        <f t="shared" ca="1" si="40"/>
        <v>1.244532</v>
      </c>
      <c r="BB115" s="699">
        <f ca="1">IF(Data!$C$59=1,TRUNC(($A49*0.9-BA115)/$P$92*2000*PI()*0.8,0),IF(Data!$C$59=2,TRUNC(($A49*0.8-(BA115+0.1))/$P$92*2000*PI()*0.8,0),""))</f>
        <v>3</v>
      </c>
      <c r="BC115" s="699"/>
      <c r="BD115" s="704">
        <f t="shared" ca="1" si="41"/>
        <v>1.398089846153846</v>
      </c>
      <c r="BE115" s="707">
        <f t="shared" ca="1" si="42"/>
        <v>7871.1</v>
      </c>
      <c r="BF115" s="707">
        <f t="shared" ca="1" si="50"/>
        <v>1311.85</v>
      </c>
      <c r="BG115" s="699">
        <f t="shared" ca="1" si="43"/>
        <v>0.8296880000000002</v>
      </c>
      <c r="BH115" s="699">
        <f ca="1">IF(Data!$C$59=1,TRUNC(($A49*0.9-BG115)/$P$91*2000*PI()*0.8,0),IF(Data!$C$59=2,TRUNC(($A49*0.8-(BG115+0.1))/$P$91*2000*PI()*0.8,0),""))</f>
        <v>215</v>
      </c>
      <c r="BI115" s="699"/>
      <c r="BJ115" s="704">
        <f t="shared" ca="1" si="44"/>
        <v>1.398089846153846</v>
      </c>
      <c r="BK115" s="707">
        <f t="shared" ca="1" si="45"/>
        <v>7871.1</v>
      </c>
      <c r="BL115" s="707">
        <f t="shared" ca="1" si="46"/>
        <v>655.92499999999995</v>
      </c>
      <c r="BM115" s="699">
        <f t="shared" ca="1" si="47"/>
        <v>0.4148440000000001</v>
      </c>
      <c r="BN115" s="699">
        <f ca="1">IF(Data!$C$59=1,TRUNC(($A49*0.9-BM115)/$P$90*2000*PI()*0.8,0),IF(Data!$C$59=2,TRUNC(($A49*0.8-(BM115+0.1))/$P$90*2000*PI()*0.8,0),""))</f>
        <v>847</v>
      </c>
      <c r="BO115" s="699"/>
      <c r="BP115" s="699"/>
      <c r="BQ115" s="699"/>
      <c r="BR115" s="699"/>
      <c r="BS115" s="699"/>
      <c r="BT115" s="699"/>
      <c r="BU115" s="699"/>
      <c r="BV115" s="699"/>
      <c r="BW115" s="699"/>
      <c r="BX115" s="699"/>
      <c r="BY115" s="699"/>
      <c r="BZ115" s="699"/>
      <c r="CA115" s="699"/>
      <c r="CB115" s="699"/>
    </row>
    <row r="116" spans="1:80">
      <c r="A116" s="586">
        <f t="shared" ca="1" si="48"/>
        <v>0.77720000000000022</v>
      </c>
      <c r="B116" s="655">
        <f ca="1">0.6*$B$84</f>
        <v>4800</v>
      </c>
      <c r="C116" s="586">
        <f t="shared" ca="1" si="52"/>
        <v>-2.4444444444444465E-5</v>
      </c>
      <c r="D116" s="586">
        <f t="shared" ca="1" si="18"/>
        <v>0.77720000000000022</v>
      </c>
      <c r="M116" s="620">
        <v>1400</v>
      </c>
      <c r="N116" s="620">
        <v>79</v>
      </c>
      <c r="U116" s="707">
        <f t="shared" ca="1" si="21"/>
        <v>1600</v>
      </c>
      <c r="V116" s="707">
        <f t="shared" ca="1" si="22"/>
        <v>4800</v>
      </c>
      <c r="W116" s="704">
        <f t="shared" ca="1" si="23"/>
        <v>0.87599999999999989</v>
      </c>
      <c r="X116" s="704">
        <f t="shared" ca="1" si="24"/>
        <v>0.87599999999999989</v>
      </c>
      <c r="Y116" s="704" t="str">
        <f t="shared" ca="1" si="25"/>
        <v/>
      </c>
      <c r="Z116" s="704">
        <f ca="1">IF(Data!$E$83=1,Data!$L$117+Data!$F$59+X116/Data!$L$116/Data!$E$59/Data!$L$115,Data!$E$90+Data!$F$59+X116/Data!$G$90/Data!$E$59/Data!$D$90)</f>
        <v>0.97333333333333316</v>
      </c>
      <c r="AA116" s="705">
        <f t="shared" ca="1" si="26"/>
        <v>0.77720000000000022</v>
      </c>
      <c r="AB116" s="699">
        <f ca="1">IF(Data!$C$59=1,TRUNC(($A116*0.9-W116)/$P$92*2000*PI()*0.8,0),IF(Data!$C$59=2,TRUNC(($A116*0.8-(W116+0.1))/$P$92*2000*PI()*0.8,0),""))</f>
        <v>-44</v>
      </c>
      <c r="AC116" s="699"/>
      <c r="AD116" s="706"/>
      <c r="AE116" s="707">
        <f t="shared" ca="1" si="27"/>
        <v>800</v>
      </c>
      <c r="AF116" s="707">
        <f t="shared" ca="1" si="28"/>
        <v>4800</v>
      </c>
      <c r="AG116" s="704">
        <f t="shared" ca="1" si="29"/>
        <v>0.58400000000000007</v>
      </c>
      <c r="AH116" s="704">
        <f t="shared" ca="1" si="16"/>
        <v>0.58400000000000007</v>
      </c>
      <c r="AI116" s="705">
        <f t="shared" ca="1" si="30"/>
        <v>0.64888888888888896</v>
      </c>
      <c r="AJ116" s="704">
        <f ca="1">IF(Data!$E$83=1,Data!$L$117+Data!$F$59+AH116/Data!$L$116/Data!$E$59/Data!$L$115,Data!$E$90+Data!$F$59+AH116/Data!$G$90/Data!$E$59/Data!$D$90)</f>
        <v>0.64888888888888896</v>
      </c>
      <c r="AK116" s="704">
        <f t="shared" ca="1" si="31"/>
        <v>0.77720000000000022</v>
      </c>
      <c r="AL116" s="699">
        <f ca="1">IF(Data!$C$59=1,TRUNC(($A116*0.9-AG116)/$P$91*2000*PI()*0.8,0),IF(Data!$C$59=2,TRUNC(($A116*0.8-(AG116+0.1))/$P$91*2000*PI()*0.8,0),""))</f>
        <v>58</v>
      </c>
      <c r="AM116" s="706"/>
      <c r="AN116" s="707">
        <f t="shared" ca="1" si="32"/>
        <v>400</v>
      </c>
      <c r="AO116" s="707">
        <f t="shared" ca="1" si="33"/>
        <v>4800</v>
      </c>
      <c r="AP116" s="704">
        <f t="shared" ca="1" si="34"/>
        <v>0.29200000000000004</v>
      </c>
      <c r="AQ116" s="704">
        <f t="shared" ca="1" si="17"/>
        <v>0.29200000000000004</v>
      </c>
      <c r="AR116" s="704">
        <f t="shared" ca="1" si="35"/>
        <v>0.32444444444444448</v>
      </c>
      <c r="AS116" s="704">
        <f ca="1">IF(Data!$E$83=1,Data!$L$117+Data!$F$59+AQ116/Data!$L$116/Data!$E$59/Data!$L$115,Data!$E$90+Data!$F$59+AQ116/Data!$G$90/Data!$E$59/Data!$D$90)</f>
        <v>0.32444444444444448</v>
      </c>
      <c r="AT116" s="704">
        <f t="shared" ca="1" si="36"/>
        <v>0.77720000000000022</v>
      </c>
      <c r="AU116" s="699">
        <f ca="1">IF(Data!$C$59=1,TRUNC(($A116*0.9-AP116)/$P$90*2000*PI()*0.8,0),IF(Data!$C$59=2,TRUNC(($A116*0.8-(AP116+0.1))/$P$90*2000*PI()*0.8,0),""))</f>
        <v>409</v>
      </c>
      <c r="AV116" s="699"/>
      <c r="AW116" s="699"/>
      <c r="AX116" s="704">
        <f t="shared" ca="1" si="37"/>
        <v>1.3408024615384615</v>
      </c>
      <c r="AY116" s="707">
        <f t="shared" ca="1" si="38"/>
        <v>7985.2</v>
      </c>
      <c r="AZ116" s="707">
        <f t="shared" ca="1" si="39"/>
        <v>2661.7333333333336</v>
      </c>
      <c r="BA116" s="704">
        <f t="shared" ca="1" si="40"/>
        <v>1.258224</v>
      </c>
      <c r="BB116" s="699">
        <f ca="1">IF(Data!$C$59=1,TRUNC(($A50*0.9-BA116)/$P$92*2000*PI()*0.8,0),IF(Data!$C$59=2,TRUNC(($A50*0.8-(BA116+0.1))/$P$92*2000*PI()*0.8,0),""))</f>
        <v>-12</v>
      </c>
      <c r="BC116" s="699"/>
      <c r="BD116" s="704">
        <f t="shared" ca="1" si="41"/>
        <v>1.3408024615384615</v>
      </c>
      <c r="BE116" s="707">
        <f t="shared" ca="1" si="42"/>
        <v>7985.2</v>
      </c>
      <c r="BF116" s="707">
        <f t="shared" ca="1" si="50"/>
        <v>1330.8666666666668</v>
      </c>
      <c r="BG116" s="699">
        <f t="shared" ca="1" si="43"/>
        <v>0.83881600000000001</v>
      </c>
      <c r="BH116" s="699">
        <f ca="1">IF(Data!$C$59=1,TRUNC(($A50*0.9-BG116)/$P$91*2000*PI()*0.8,0),IF(Data!$C$59=2,TRUNC(($A50*0.8-(BG116+0.1))/$P$91*2000*PI()*0.8,0),""))</f>
        <v>184</v>
      </c>
      <c r="BI116" s="699"/>
      <c r="BJ116" s="704">
        <f t="shared" ca="1" si="44"/>
        <v>1.3408024615384615</v>
      </c>
      <c r="BK116" s="707">
        <f t="shared" ca="1" si="45"/>
        <v>7985.2</v>
      </c>
      <c r="BL116" s="707">
        <f t="shared" ca="1" si="46"/>
        <v>665.43333333333339</v>
      </c>
      <c r="BM116" s="699">
        <f t="shared" ca="1" si="47"/>
        <v>0.419408</v>
      </c>
      <c r="BN116" s="699">
        <f ca="1">IF(Data!$C$59=1,TRUNC(($A50*0.9-BM116)/$P$90*2000*PI()*0.8,0),IF(Data!$C$59=2,TRUNC(($A50*0.8-(BM116+0.1))/$P$90*2000*PI()*0.8,0),""))</f>
        <v>791</v>
      </c>
      <c r="BO116" s="699"/>
      <c r="BP116" s="699"/>
      <c r="BQ116" s="699"/>
      <c r="BR116" s="699"/>
      <c r="BS116" s="699"/>
      <c r="BT116" s="699"/>
      <c r="BU116" s="699"/>
      <c r="BV116" s="699"/>
      <c r="BW116" s="699"/>
      <c r="BX116" s="699"/>
      <c r="BY116" s="699"/>
      <c r="BZ116" s="699"/>
      <c r="CA116" s="699"/>
      <c r="CB116" s="699"/>
    </row>
    <row r="117" spans="1:80">
      <c r="A117" s="586">
        <f t="shared" ca="1" si="48"/>
        <v>0.77328888888888914</v>
      </c>
      <c r="B117" s="655">
        <f ca="1">0.62*$B$84</f>
        <v>4960</v>
      </c>
      <c r="C117" s="586">
        <f t="shared" ca="1" si="52"/>
        <v>-2.4444444444444465E-5</v>
      </c>
      <c r="D117" s="586">
        <f t="shared" ca="1" si="18"/>
        <v>0.77328888888888914</v>
      </c>
      <c r="M117" s="620">
        <v>1300</v>
      </c>
      <c r="U117" s="708">
        <f t="shared" ca="1" si="21"/>
        <v>1653.3333333333335</v>
      </c>
      <c r="V117" s="708">
        <f t="shared" ca="1" si="22"/>
        <v>4960</v>
      </c>
      <c r="W117" s="709">
        <f t="shared" ca="1" si="23"/>
        <v>0.8952</v>
      </c>
      <c r="X117" s="709">
        <f t="shared" ca="1" si="24"/>
        <v>0.8952</v>
      </c>
      <c r="Y117" s="704" t="str">
        <f t="shared" ca="1" si="25"/>
        <v/>
      </c>
      <c r="Z117" s="704">
        <f ca="1">IF(Data!$E$83=1,Data!$L$117+Data!$F$59+X117/Data!$L$116/Data!$E$59/Data!$L$115,Data!$E$90+Data!$F$59+X117/Data!$G$90/Data!$E$59/Data!$D$90)</f>
        <v>0.99466666666666659</v>
      </c>
      <c r="AA117" s="710">
        <f t="shared" ca="1" si="26"/>
        <v>0.77328888888888914</v>
      </c>
      <c r="AB117" s="699">
        <f ca="1">IF(Data!$C$59=1,TRUNC(($A117*0.9-W117)/$P$92*2000*PI()*0.8,0),IF(Data!$C$59=2,TRUNC(($A117*0.8-(W117+0.1))/$P$92*2000*PI()*0.8,0),""))</f>
        <v>-50</v>
      </c>
      <c r="AC117" s="699"/>
      <c r="AD117" s="706"/>
      <c r="AE117" s="708">
        <f t="shared" ca="1" si="27"/>
        <v>826.66666666666674</v>
      </c>
      <c r="AF117" s="708">
        <f t="shared" ca="1" si="28"/>
        <v>4960</v>
      </c>
      <c r="AG117" s="709">
        <f t="shared" ca="1" si="29"/>
        <v>0.5968</v>
      </c>
      <c r="AH117" s="709">
        <f t="shared" ca="1" si="16"/>
        <v>0.5968</v>
      </c>
      <c r="AI117" s="705">
        <f t="shared" ca="1" si="30"/>
        <v>0.6631111111111111</v>
      </c>
      <c r="AJ117" s="704">
        <f ca="1">IF(Data!$E$83=1,Data!$L$117+Data!$F$59+AH117/Data!$L$116/Data!$E$59/Data!$L$115,Data!$E$90+Data!$F$59+AH117/Data!$G$90/Data!$E$59/Data!$D$90)</f>
        <v>0.6631111111111111</v>
      </c>
      <c r="AK117" s="709">
        <f t="shared" ca="1" si="31"/>
        <v>0.77328888888888914</v>
      </c>
      <c r="AL117" s="699">
        <f ca="1">IF(Data!$C$59=1,TRUNC(($A117*0.9-AG117)/$P$91*2000*PI()*0.8,0),IF(Data!$C$59=2,TRUNC(($A117*0.8-(AG117+0.1))/$P$91*2000*PI()*0.8,0),""))</f>
        <v>49</v>
      </c>
      <c r="AM117" s="706"/>
      <c r="AN117" s="708">
        <f t="shared" ca="1" si="32"/>
        <v>413.33333333333337</v>
      </c>
      <c r="AO117" s="708">
        <f t="shared" ca="1" si="33"/>
        <v>4960</v>
      </c>
      <c r="AP117" s="709">
        <f t="shared" ca="1" si="34"/>
        <v>0.2984</v>
      </c>
      <c r="AQ117" s="709">
        <f t="shared" ca="1" si="17"/>
        <v>0.2984</v>
      </c>
      <c r="AR117" s="704">
        <f t="shared" ca="1" si="35"/>
        <v>0.33155555555555555</v>
      </c>
      <c r="AS117" s="704">
        <f ca="1">IF(Data!$E$83=1,Data!$L$117+Data!$F$59+AQ117/Data!$L$116/Data!$E$59/Data!$L$115,Data!$E$90+Data!$F$59+AQ117/Data!$G$90/Data!$E$59/Data!$D$90)</f>
        <v>0.33155555555555555</v>
      </c>
      <c r="AT117" s="709">
        <f t="shared" ca="1" si="36"/>
        <v>0.77328888888888914</v>
      </c>
      <c r="AU117" s="699">
        <f ca="1">IF(Data!$C$59=1,TRUNC(($A117*0.9-AP117)/$P$90*2000*PI()*0.8,0),IF(Data!$C$59=2,TRUNC(($A117*0.8-(AP117+0.1))/$P$90*2000*PI()*0.8,0),""))</f>
        <v>399</v>
      </c>
      <c r="AV117" s="711"/>
      <c r="AW117" s="711"/>
      <c r="AX117" s="704">
        <f t="shared" ca="1" si="37"/>
        <v>1.2829186813186786</v>
      </c>
      <c r="AY117" s="707">
        <f t="shared" ca="1" si="38"/>
        <v>8000</v>
      </c>
      <c r="AZ117" s="707">
        <f t="shared" ca="1" si="39"/>
        <v>2666.666666666667</v>
      </c>
      <c r="BA117" s="704">
        <f t="shared" ca="1" si="40"/>
        <v>1.26</v>
      </c>
      <c r="BB117" s="699">
        <f ca="1">IF(Data!$C$59=1,TRUNC(($A51*0.9-BA117)/$P$92*2000*PI()*0.8,0),IF(Data!$C$59=2,TRUNC(($A51*0.8-(BA117+0.1))/$P$92*2000*PI()*0.8,0),""))</f>
        <v>-26</v>
      </c>
      <c r="BC117" s="711"/>
      <c r="BD117" s="704">
        <f t="shared" ca="1" si="41"/>
        <v>1.2829186813186786</v>
      </c>
      <c r="BE117" s="707">
        <f t="shared" ca="1" si="42"/>
        <v>8000</v>
      </c>
      <c r="BF117" s="707">
        <f t="shared" ca="1" si="50"/>
        <v>1333.3333333333335</v>
      </c>
      <c r="BG117" s="699">
        <f t="shared" ca="1" si="43"/>
        <v>0.84000000000000008</v>
      </c>
      <c r="BH117" s="699">
        <f ca="1">IF(Data!$C$59=1,TRUNC(($A51*0.9-BG117)/$P$91*2000*PI()*0.8,0),IF(Data!$C$59=2,TRUNC(($A51*0.8-(BG117+0.1))/$P$91*2000*PI()*0.8,0),""))</f>
        <v>158</v>
      </c>
      <c r="BI117" s="711"/>
      <c r="BJ117" s="704">
        <f t="shared" ca="1" si="44"/>
        <v>1.2829186813186786</v>
      </c>
      <c r="BK117" s="707">
        <f t="shared" ca="1" si="45"/>
        <v>8000</v>
      </c>
      <c r="BL117" s="707">
        <f t="shared" ca="1" si="46"/>
        <v>666.66666666666674</v>
      </c>
      <c r="BM117" s="699">
        <f t="shared" ca="1" si="47"/>
        <v>0.42000000000000004</v>
      </c>
      <c r="BN117" s="699">
        <f ca="1">IF(Data!$C$59=1,TRUNC(($A51*0.9-BM117)/$P$90*2000*PI()*0.8,0),IF(Data!$C$59=2,TRUNC(($A51*0.8-(BM117+0.1))/$P$90*2000*PI()*0.8,0),""))</f>
        <v>738</v>
      </c>
      <c r="BO117" s="711"/>
      <c r="BP117" s="711"/>
      <c r="BQ117" s="711"/>
      <c r="BR117" s="711"/>
      <c r="BS117" s="711"/>
      <c r="BT117" s="711"/>
      <c r="BU117" s="711"/>
      <c r="BV117" s="711"/>
      <c r="BW117" s="711"/>
      <c r="BX117" s="711"/>
      <c r="BY117" s="711"/>
      <c r="BZ117" s="711"/>
      <c r="CA117" s="711"/>
      <c r="CB117" s="711"/>
    </row>
    <row r="118" spans="1:80">
      <c r="A118" s="586">
        <f t="shared" ca="1" si="48"/>
        <v>0.76937777777777805</v>
      </c>
      <c r="B118" s="655">
        <f ca="1">0.64*$B$84</f>
        <v>5120</v>
      </c>
      <c r="C118" s="586">
        <f t="shared" ca="1" si="52"/>
        <v>-2.4444444444444465E-5</v>
      </c>
      <c r="D118" s="586">
        <f t="shared" ca="1" si="18"/>
        <v>0.76937777777777805</v>
      </c>
      <c r="M118" s="620">
        <v>1200</v>
      </c>
      <c r="U118" s="707">
        <f t="shared" ca="1" si="21"/>
        <v>1706.6666666666665</v>
      </c>
      <c r="V118" s="707">
        <f t="shared" ca="1" si="22"/>
        <v>5120</v>
      </c>
      <c r="W118" s="704">
        <f t="shared" ca="1" si="23"/>
        <v>0.91439999999999988</v>
      </c>
      <c r="X118" s="704">
        <f t="shared" ca="1" si="24"/>
        <v>0.91439999999999988</v>
      </c>
      <c r="Y118" s="704" t="str">
        <f t="shared" ca="1" si="25"/>
        <v/>
      </c>
      <c r="Z118" s="704">
        <f ca="1">IF(Data!$E$83=1,Data!$L$117+Data!$F$59+X118/Data!$L$116/Data!$E$59/Data!$L$115,Data!$E$90+Data!$F$59+X118/Data!$G$90/Data!$E$59/Data!$D$90)</f>
        <v>1.0159999999999998</v>
      </c>
      <c r="AA118" s="705">
        <f t="shared" ca="1" si="26"/>
        <v>0.76937777777777805</v>
      </c>
      <c r="AB118" s="699">
        <f ca="1">IF(Data!$C$59=1,TRUNC(($A118*0.9-W118)/$P$92*2000*PI()*0.8,0),IF(Data!$C$59=2,TRUNC(($A118*0.8-(W118+0.1))/$P$92*2000*PI()*0.8,0),""))</f>
        <v>-55</v>
      </c>
      <c r="AC118" s="699"/>
      <c r="AD118" s="706"/>
      <c r="AE118" s="707">
        <f t="shared" ca="1" si="27"/>
        <v>853.33333333333326</v>
      </c>
      <c r="AF118" s="707">
        <f t="shared" ca="1" si="28"/>
        <v>5120</v>
      </c>
      <c r="AG118" s="704">
        <f t="shared" ca="1" si="29"/>
        <v>0.60960000000000003</v>
      </c>
      <c r="AH118" s="704">
        <f t="shared" ca="1" si="16"/>
        <v>0.60960000000000003</v>
      </c>
      <c r="AI118" s="705">
        <f t="shared" ca="1" si="30"/>
        <v>0.67733333333333334</v>
      </c>
      <c r="AJ118" s="704">
        <f ca="1">IF(Data!$E$83=1,Data!$L$117+Data!$F$59+AH118/Data!$L$116/Data!$E$59/Data!$L$115,Data!$E$90+Data!$F$59+AH118/Data!$G$90/Data!$E$59/Data!$D$90)</f>
        <v>0.67733333333333334</v>
      </c>
      <c r="AK118" s="704">
        <f t="shared" ca="1" si="31"/>
        <v>0.76937777777777805</v>
      </c>
      <c r="AL118" s="699">
        <f ca="1">IF(Data!$C$59=1,TRUNC(($A118*0.9-AG118)/$P$91*2000*PI()*0.8,0),IF(Data!$C$59=2,TRUNC(($A118*0.8-(AG118+0.1))/$P$91*2000*PI()*0.8,0),""))</f>
        <v>41</v>
      </c>
      <c r="AM118" s="706"/>
      <c r="AN118" s="707">
        <f t="shared" ca="1" si="32"/>
        <v>426.66666666666663</v>
      </c>
      <c r="AO118" s="707">
        <f t="shared" ca="1" si="33"/>
        <v>5120</v>
      </c>
      <c r="AP118" s="704">
        <f t="shared" ca="1" si="34"/>
        <v>0.30480000000000002</v>
      </c>
      <c r="AQ118" s="704">
        <f t="shared" ca="1" si="17"/>
        <v>0.30480000000000002</v>
      </c>
      <c r="AR118" s="704">
        <f t="shared" ca="1" si="35"/>
        <v>0.33866666666666667</v>
      </c>
      <c r="AS118" s="704">
        <f ca="1">IF(Data!$E$83=1,Data!$L$117+Data!$F$59+AQ118/Data!$L$116/Data!$E$59/Data!$L$115,Data!$E$90+Data!$F$59+AQ118/Data!$G$90/Data!$E$59/Data!$D$90)</f>
        <v>0.33866666666666667</v>
      </c>
      <c r="AT118" s="704">
        <f t="shared" ca="1" si="36"/>
        <v>0.76937777777777805</v>
      </c>
      <c r="AU118" s="699">
        <f ca="1">IF(Data!$C$59=1,TRUNC(($A118*0.9-AP118)/$P$90*2000*PI()*0.8,0),IF(Data!$C$59=2,TRUNC(($A118*0.8-(AP118+0.1))/$P$90*2000*PI()*0.8,0),""))</f>
        <v>389</v>
      </c>
      <c r="AV118" s="699"/>
      <c r="AW118" s="699"/>
      <c r="AX118" s="704">
        <f t="shared" ca="1" si="37"/>
        <v>1.2244385054945026</v>
      </c>
      <c r="AY118" s="707">
        <f t="shared" ca="1" si="38"/>
        <v>8000</v>
      </c>
      <c r="AZ118" s="707">
        <f t="shared" ca="1" si="39"/>
        <v>2666.666666666667</v>
      </c>
      <c r="BA118" s="704">
        <f t="shared" ca="1" si="40"/>
        <v>1.26</v>
      </c>
      <c r="BB118" s="699">
        <f ca="1">IF(Data!$C$59=1,TRUNC(($A52*0.9-BA118)/$P$92*2000*PI()*0.8,0),IF(Data!$C$59=2,TRUNC(($A52*0.8-(BA118+0.1))/$P$92*2000*PI()*0.8,0),""))</f>
        <v>-39</v>
      </c>
      <c r="BC118" s="699"/>
      <c r="BD118" s="704">
        <f t="shared" ca="1" si="41"/>
        <v>1.2244385054945026</v>
      </c>
      <c r="BE118" s="707">
        <f t="shared" ca="1" si="42"/>
        <v>8000</v>
      </c>
      <c r="BF118" s="707">
        <f t="shared" ca="1" si="50"/>
        <v>1333.3333333333335</v>
      </c>
      <c r="BG118" s="699">
        <f t="shared" ca="1" si="43"/>
        <v>0.84000000000000008</v>
      </c>
      <c r="BH118" s="699">
        <f ca="1">IF(Data!$C$59=1,TRUNC(($A52*0.9-BG118)/$P$91*2000*PI()*0.8,0),IF(Data!$C$59=2,TRUNC(($A52*0.8-(BG118+0.1))/$P$91*2000*PI()*0.8,0),""))</f>
        <v>131</v>
      </c>
      <c r="BI118" s="699"/>
      <c r="BJ118" s="704">
        <f t="shared" ca="1" si="44"/>
        <v>1.2244385054945026</v>
      </c>
      <c r="BK118" s="707">
        <f t="shared" ca="1" si="45"/>
        <v>8000</v>
      </c>
      <c r="BL118" s="707">
        <f t="shared" ca="1" si="46"/>
        <v>666.66666666666674</v>
      </c>
      <c r="BM118" s="699">
        <f t="shared" ca="1" si="47"/>
        <v>0.42000000000000004</v>
      </c>
      <c r="BN118" s="699">
        <f ca="1">IF(Data!$C$59=1,TRUNC(($A52*0.9-BM118)/$P$90*2000*PI()*0.8,0),IF(Data!$C$59=2,TRUNC(($A52*0.8-(BM118+0.1))/$P$90*2000*PI()*0.8,0),""))</f>
        <v>685</v>
      </c>
      <c r="BO118" s="699"/>
      <c r="BP118" s="699"/>
      <c r="BQ118" s="699"/>
      <c r="BR118" s="699"/>
      <c r="BS118" s="699"/>
      <c r="BT118" s="699"/>
      <c r="BU118" s="699"/>
      <c r="BV118" s="699"/>
      <c r="BW118" s="699"/>
      <c r="BX118" s="699"/>
      <c r="BY118" s="699"/>
      <c r="BZ118" s="699"/>
      <c r="CA118" s="699"/>
      <c r="CB118" s="699"/>
    </row>
    <row r="119" spans="1:80">
      <c r="A119" s="586">
        <f t="shared" ca="1" si="48"/>
        <v>0.76546666666666696</v>
      </c>
      <c r="B119" s="655">
        <f ca="1">0.66*$B$84</f>
        <v>5280</v>
      </c>
      <c r="C119" s="586">
        <f t="shared" ca="1" si="52"/>
        <v>-2.4444444444444465E-5</v>
      </c>
      <c r="D119" s="586">
        <f t="shared" ca="1" si="18"/>
        <v>0.76546666666666696</v>
      </c>
      <c r="M119" s="620">
        <v>1100</v>
      </c>
      <c r="U119" s="707">
        <f t="shared" ca="1" si="21"/>
        <v>1760</v>
      </c>
      <c r="V119" s="707">
        <f t="shared" ca="1" si="22"/>
        <v>5280</v>
      </c>
      <c r="W119" s="704">
        <f t="shared" ca="1" si="23"/>
        <v>0.93359999999999999</v>
      </c>
      <c r="X119" s="704">
        <f t="shared" ca="1" si="24"/>
        <v>0.93359999999999999</v>
      </c>
      <c r="Y119" s="704" t="str">
        <f t="shared" ca="1" si="25"/>
        <v/>
      </c>
      <c r="Z119" s="704">
        <f ca="1">IF(Data!$E$83=1,Data!$L$117+Data!$F$59+X119/Data!$L$116/Data!$E$59/Data!$L$115,Data!$E$90+Data!$F$59+X119/Data!$G$90/Data!$E$59/Data!$D$90)</f>
        <v>1.0373333333333332</v>
      </c>
      <c r="AA119" s="705">
        <f t="shared" ca="1" si="26"/>
        <v>0.76546666666666696</v>
      </c>
      <c r="AB119" s="699">
        <f ca="1">IF(Data!$C$59=1,TRUNC(($A119*0.9-W119)/$P$92*2000*PI()*0.8,0),IF(Data!$C$59=2,TRUNC(($A119*0.8-(W119+0.1))/$P$92*2000*PI()*0.8,0),""))</f>
        <v>-61</v>
      </c>
      <c r="AC119" s="699"/>
      <c r="AD119" s="706"/>
      <c r="AE119" s="707">
        <f t="shared" ca="1" si="27"/>
        <v>880</v>
      </c>
      <c r="AF119" s="707">
        <f t="shared" ca="1" si="28"/>
        <v>5280</v>
      </c>
      <c r="AG119" s="704">
        <f t="shared" ca="1" si="29"/>
        <v>0.62240000000000006</v>
      </c>
      <c r="AH119" s="704">
        <f t="shared" ca="1" si="16"/>
        <v>0.62240000000000006</v>
      </c>
      <c r="AI119" s="705">
        <f t="shared" ca="1" si="30"/>
        <v>0.69155555555555559</v>
      </c>
      <c r="AJ119" s="704">
        <f ca="1">IF(Data!$E$83=1,Data!$L$117+Data!$F$59+AH119/Data!$L$116/Data!$E$59/Data!$L$115,Data!$E$90+Data!$F$59+AH119/Data!$G$90/Data!$E$59/Data!$D$90)</f>
        <v>0.69155555555555559</v>
      </c>
      <c r="AK119" s="704">
        <f t="shared" ca="1" si="31"/>
        <v>0.76546666666666696</v>
      </c>
      <c r="AL119" s="699">
        <f ca="1">IF(Data!$C$59=1,TRUNC(($A119*0.9-AG119)/$P$91*2000*PI()*0.8,0),IF(Data!$C$59=2,TRUNC(($A119*0.8-(AG119+0.1))/$P$91*2000*PI()*0.8,0),""))</f>
        <v>33</v>
      </c>
      <c r="AM119" s="706"/>
      <c r="AN119" s="707">
        <f t="shared" ca="1" si="32"/>
        <v>440</v>
      </c>
      <c r="AO119" s="707">
        <f t="shared" ca="1" si="33"/>
        <v>5280</v>
      </c>
      <c r="AP119" s="704">
        <f t="shared" ca="1" si="34"/>
        <v>0.31120000000000003</v>
      </c>
      <c r="AQ119" s="704">
        <f t="shared" ca="1" si="17"/>
        <v>0.31120000000000003</v>
      </c>
      <c r="AR119" s="704">
        <f t="shared" ca="1" si="35"/>
        <v>0.34577777777777779</v>
      </c>
      <c r="AS119" s="704">
        <f ca="1">IF(Data!$E$83=1,Data!$L$117+Data!$F$59+AQ119/Data!$L$116/Data!$E$59/Data!$L$115,Data!$E$90+Data!$F$59+AQ119/Data!$G$90/Data!$E$59/Data!$D$90)</f>
        <v>0.34577777777777779</v>
      </c>
      <c r="AT119" s="704">
        <f t="shared" ca="1" si="36"/>
        <v>0.76546666666666696</v>
      </c>
      <c r="AU119" s="699">
        <f ca="1">IF(Data!$C$59=1,TRUNC(($A119*0.9-AP119)/$P$90*2000*PI()*0.8,0),IF(Data!$C$59=2,TRUNC(($A119*0.8-(AP119+0.1))/$P$90*2000*PI()*0.8,0),""))</f>
        <v>379</v>
      </c>
      <c r="AV119" s="699"/>
      <c r="AW119" s="699"/>
      <c r="AX119" s="704">
        <f t="shared" ca="1" si="37"/>
        <v>1.1653619340659311</v>
      </c>
      <c r="AY119" s="707">
        <f t="shared" ca="1" si="38"/>
        <v>8000</v>
      </c>
      <c r="AZ119" s="707">
        <f t="shared" ca="1" si="39"/>
        <v>2666.666666666667</v>
      </c>
      <c r="BA119" s="704">
        <f t="shared" ca="1" si="40"/>
        <v>1.26</v>
      </c>
      <c r="BB119" s="699">
        <f ca="1">IF(Data!$C$59=1,TRUNC(($A53*0.9-BA119)/$P$92*2000*PI()*0.8,0),IF(Data!$C$59=2,TRUNC(($A53*0.8-(BA119+0.1))/$P$92*2000*PI()*0.8,0),""))</f>
        <v>-53</v>
      </c>
      <c r="BC119" s="699"/>
      <c r="BD119" s="704">
        <f t="shared" ca="1" si="41"/>
        <v>1.1653619340659311</v>
      </c>
      <c r="BE119" s="707">
        <f t="shared" ca="1" si="42"/>
        <v>8000</v>
      </c>
      <c r="BF119" s="707">
        <f t="shared" ca="1" si="50"/>
        <v>1333.3333333333335</v>
      </c>
      <c r="BG119" s="699">
        <f t="shared" ca="1" si="43"/>
        <v>0.84000000000000008</v>
      </c>
      <c r="BH119" s="699">
        <f ca="1">IF(Data!$C$59=1,TRUNC(($A53*0.9-BG119)/$P$91*2000*PI()*0.8,0),IF(Data!$C$59=2,TRUNC(($A53*0.8-(BG119+0.1))/$P$91*2000*PI()*0.8,0),""))</f>
        <v>104</v>
      </c>
      <c r="BI119" s="699"/>
      <c r="BJ119" s="704">
        <f t="shared" ca="1" si="44"/>
        <v>1.1653619340659311</v>
      </c>
      <c r="BK119" s="707">
        <f t="shared" ca="1" si="45"/>
        <v>8000</v>
      </c>
      <c r="BL119" s="707">
        <f t="shared" ca="1" si="46"/>
        <v>666.66666666666674</v>
      </c>
      <c r="BM119" s="699">
        <f t="shared" ca="1" si="47"/>
        <v>0.42000000000000004</v>
      </c>
      <c r="BN119" s="699">
        <f ca="1">IF(Data!$C$59=1,TRUNC(($A53*0.9-BM119)/$P$90*2000*PI()*0.8,0),IF(Data!$C$59=2,TRUNC(($A53*0.8-(BM119+0.1))/$P$90*2000*PI()*0.8,0),""))</f>
        <v>632</v>
      </c>
      <c r="BO119" s="699"/>
      <c r="BP119" s="699"/>
      <c r="BQ119" s="699"/>
      <c r="BR119" s="699"/>
      <c r="BS119" s="699"/>
      <c r="BT119" s="699"/>
      <c r="BU119" s="699"/>
      <c r="BV119" s="699"/>
      <c r="BW119" s="699"/>
      <c r="BX119" s="699"/>
      <c r="BY119" s="699"/>
      <c r="BZ119" s="699"/>
      <c r="CA119" s="699"/>
      <c r="CB119" s="699"/>
    </row>
    <row r="120" spans="1:80">
      <c r="A120" s="586">
        <f t="shared" ca="1" si="48"/>
        <v>0.76155555555555587</v>
      </c>
      <c r="B120" s="655">
        <f ca="1">0.68*$B$84</f>
        <v>5440</v>
      </c>
      <c r="C120" s="586">
        <f t="shared" ca="1" si="52"/>
        <v>-2.4444444444444465E-5</v>
      </c>
      <c r="D120" s="586">
        <f t="shared" ca="1" si="18"/>
        <v>0.76155555555555587</v>
      </c>
      <c r="M120" s="620">
        <v>1000</v>
      </c>
      <c r="U120" s="707">
        <f t="shared" ca="1" si="21"/>
        <v>1813.3333333333335</v>
      </c>
      <c r="V120" s="707">
        <f t="shared" ca="1" si="22"/>
        <v>5440</v>
      </c>
      <c r="W120" s="704">
        <f t="shared" ca="1" si="23"/>
        <v>0.95280000000000009</v>
      </c>
      <c r="X120" s="704">
        <f t="shared" ca="1" si="24"/>
        <v>0.95280000000000009</v>
      </c>
      <c r="Y120" s="704" t="str">
        <f t="shared" ca="1" si="25"/>
        <v/>
      </c>
      <c r="Z120" s="704">
        <f ca="1">IF(Data!$E$83=1,Data!$L$117+Data!$F$59+X120/Data!$L$116/Data!$E$59/Data!$L$115,Data!$E$90+Data!$F$59+X120/Data!$G$90/Data!$E$59/Data!$D$90)</f>
        <v>1.0586666666666666</v>
      </c>
      <c r="AA120" s="705">
        <f t="shared" ca="1" si="26"/>
        <v>0.76155555555555587</v>
      </c>
      <c r="AB120" s="699">
        <f ca="1">IF(Data!$C$59=1,TRUNC(($A120*0.9-W120)/$P$92*2000*PI()*0.8,0),IF(Data!$C$59=2,TRUNC(($A120*0.8-(W120+0.1))/$P$92*2000*PI()*0.8,0),""))</f>
        <v>-67</v>
      </c>
      <c r="AC120" s="699"/>
      <c r="AD120" s="706"/>
      <c r="AE120" s="707">
        <f t="shared" ca="1" si="27"/>
        <v>906.66666666666674</v>
      </c>
      <c r="AF120" s="707">
        <f t="shared" ca="1" si="28"/>
        <v>5440</v>
      </c>
      <c r="AG120" s="704">
        <f t="shared" ca="1" si="29"/>
        <v>0.63519999999999999</v>
      </c>
      <c r="AH120" s="704">
        <f t="shared" ca="1" si="16"/>
        <v>0.63519999999999999</v>
      </c>
      <c r="AI120" s="705">
        <f t="shared" ca="1" si="30"/>
        <v>0.70577777777777773</v>
      </c>
      <c r="AJ120" s="704">
        <f ca="1">IF(Data!$E$83=1,Data!$L$117+Data!$F$59+AH120/Data!$L$116/Data!$E$59/Data!$L$115,Data!$E$90+Data!$F$59+AH120/Data!$G$90/Data!$E$59/Data!$D$90)</f>
        <v>0.70577777777777773</v>
      </c>
      <c r="AK120" s="704">
        <f t="shared" ca="1" si="31"/>
        <v>0.76155555555555587</v>
      </c>
      <c r="AL120" s="699">
        <f ca="1">IF(Data!$C$59=1,TRUNC(($A120*0.9-AG120)/$P$91*2000*PI()*0.8,0),IF(Data!$C$59=2,TRUNC(($A120*0.8-(AG120+0.1))/$P$91*2000*PI()*0.8,0),""))</f>
        <v>25</v>
      </c>
      <c r="AM120" s="706"/>
      <c r="AN120" s="707">
        <f t="shared" ca="1" si="32"/>
        <v>453.33333333333337</v>
      </c>
      <c r="AO120" s="707">
        <f t="shared" ca="1" si="33"/>
        <v>5440</v>
      </c>
      <c r="AP120" s="704">
        <f t="shared" ca="1" si="34"/>
        <v>0.31759999999999999</v>
      </c>
      <c r="AQ120" s="704">
        <f t="shared" ca="1" si="17"/>
        <v>0.31759999999999999</v>
      </c>
      <c r="AR120" s="704">
        <f t="shared" ca="1" si="35"/>
        <v>0.35288888888888886</v>
      </c>
      <c r="AS120" s="704">
        <f ca="1">IF(Data!$E$83=1,Data!$L$117+Data!$F$59+AQ120/Data!$L$116/Data!$E$59/Data!$L$115,Data!$E$90+Data!$F$59+AQ120/Data!$G$90/Data!$E$59/Data!$D$90)</f>
        <v>0.35288888888888886</v>
      </c>
      <c r="AT120" s="704">
        <f t="shared" ca="1" si="36"/>
        <v>0.76155555555555587</v>
      </c>
      <c r="AU120" s="699">
        <f ca="1">IF(Data!$C$59=1,TRUNC(($A120*0.9-AP120)/$P$90*2000*PI()*0.8,0),IF(Data!$C$59=2,TRUNC(($A120*0.8-(AP120+0.1))/$P$90*2000*PI()*0.8,0),""))</f>
        <v>369</v>
      </c>
      <c r="AV120" s="699"/>
      <c r="AW120" s="699"/>
      <c r="AX120" s="704">
        <f t="shared" ca="1" si="37"/>
        <v>1.1056889670329642</v>
      </c>
      <c r="AY120" s="707">
        <f t="shared" ca="1" si="38"/>
        <v>8000</v>
      </c>
      <c r="AZ120" s="707">
        <f t="shared" ca="1" si="39"/>
        <v>2666.666666666667</v>
      </c>
      <c r="BA120" s="704">
        <f t="shared" ca="1" si="40"/>
        <v>1.26</v>
      </c>
      <c r="BB120" s="699">
        <f ca="1">IF(Data!$C$59=1,TRUNC(($A54*0.9-BA120)/$P$92*2000*PI()*0.8,0),IF(Data!$C$59=2,TRUNC(($A54*0.8-(BA120+0.1))/$P$92*2000*PI()*0.8,0),""))</f>
        <v>-66</v>
      </c>
      <c r="BC120" s="699"/>
      <c r="BD120" s="704">
        <f t="shared" ca="1" si="41"/>
        <v>1.1056889670329642</v>
      </c>
      <c r="BE120" s="707">
        <f t="shared" ca="1" si="42"/>
        <v>8000</v>
      </c>
      <c r="BF120" s="707">
        <f t="shared" ca="1" si="50"/>
        <v>1333.3333333333335</v>
      </c>
      <c r="BG120" s="699">
        <f t="shared" ca="1" si="43"/>
        <v>0.84000000000000008</v>
      </c>
      <c r="BH120" s="699">
        <f ca="1">IF(Data!$C$59=1,TRUNC(($A54*0.9-BG120)/$P$91*2000*PI()*0.8,0),IF(Data!$C$59=2,TRUNC(($A54*0.8-(BG120+0.1))/$P$91*2000*PI()*0.8,0),""))</f>
        <v>77</v>
      </c>
      <c r="BI120" s="699"/>
      <c r="BJ120" s="704">
        <f t="shared" ca="1" si="44"/>
        <v>1.1056889670329642</v>
      </c>
      <c r="BK120" s="707">
        <f t="shared" ca="1" si="45"/>
        <v>8000</v>
      </c>
      <c r="BL120" s="707">
        <f t="shared" ca="1" si="46"/>
        <v>666.66666666666674</v>
      </c>
      <c r="BM120" s="699">
        <f t="shared" ca="1" si="47"/>
        <v>0.42000000000000004</v>
      </c>
      <c r="BN120" s="699">
        <f ca="1">IF(Data!$C$59=1,TRUNC(($A54*0.9-BM120)/$P$90*2000*PI()*0.8,0),IF(Data!$C$59=2,TRUNC(($A54*0.8-(BM120+0.1))/$P$90*2000*PI()*0.8,0),""))</f>
        <v>578</v>
      </c>
      <c r="BO120" s="699"/>
      <c r="BP120" s="699"/>
      <c r="BQ120" s="699"/>
      <c r="BR120" s="699"/>
      <c r="BS120" s="699"/>
      <c r="BT120" s="699"/>
      <c r="BU120" s="699"/>
      <c r="BV120" s="699"/>
      <c r="BW120" s="699"/>
      <c r="BX120" s="699"/>
      <c r="BY120" s="699"/>
      <c r="BZ120" s="699"/>
      <c r="CA120" s="699"/>
      <c r="CB120" s="699"/>
    </row>
    <row r="121" spans="1:80">
      <c r="A121" s="586">
        <f t="shared" ca="1" si="48"/>
        <v>0.75764444444444479</v>
      </c>
      <c r="B121" s="655">
        <f ca="1">0.7*$B$84</f>
        <v>5600</v>
      </c>
      <c r="C121" s="586">
        <f t="shared" ca="1" si="52"/>
        <v>-2.4444444444444465E-5</v>
      </c>
      <c r="D121" s="586">
        <f t="shared" ca="1" si="18"/>
        <v>0.75764444444444479</v>
      </c>
      <c r="M121" s="620">
        <v>900</v>
      </c>
      <c r="U121" s="707">
        <f t="shared" ca="1" si="21"/>
        <v>1866.6666666666665</v>
      </c>
      <c r="V121" s="707">
        <f t="shared" ca="1" si="22"/>
        <v>5600</v>
      </c>
      <c r="W121" s="704">
        <f t="shared" ca="1" si="23"/>
        <v>0.97199999999999998</v>
      </c>
      <c r="X121" s="704">
        <f t="shared" ca="1" si="24"/>
        <v>0.97199999999999998</v>
      </c>
      <c r="Y121" s="704" t="str">
        <f t="shared" ca="1" si="25"/>
        <v/>
      </c>
      <c r="Z121" s="704">
        <f ca="1">IF(Data!$E$83=1,Data!$L$117+Data!$F$59+X121/Data!$L$116/Data!$E$59/Data!$L$115,Data!$E$90+Data!$F$59+X121/Data!$G$90/Data!$E$59/Data!$D$90)</f>
        <v>1.0799999999999998</v>
      </c>
      <c r="AA121" s="705">
        <f t="shared" ca="1" si="26"/>
        <v>0.75764444444444479</v>
      </c>
      <c r="AB121" s="699">
        <f ca="1">IF(Data!$C$59=1,TRUNC(($A121*0.9-W121)/$P$92*2000*PI()*0.8,0),IF(Data!$C$59=2,TRUNC(($A121*0.8-(W121+0.1))/$P$92*2000*PI()*0.8,0),""))</f>
        <v>-72</v>
      </c>
      <c r="AC121" s="699"/>
      <c r="AD121" s="706"/>
      <c r="AE121" s="707">
        <f t="shared" ca="1" si="27"/>
        <v>933.33333333333326</v>
      </c>
      <c r="AF121" s="707">
        <f t="shared" ca="1" si="28"/>
        <v>5600</v>
      </c>
      <c r="AG121" s="704">
        <f t="shared" ca="1" si="29"/>
        <v>0.64800000000000013</v>
      </c>
      <c r="AH121" s="704">
        <f t="shared" ca="1" si="16"/>
        <v>0.64800000000000013</v>
      </c>
      <c r="AI121" s="705">
        <f t="shared" ca="1" si="30"/>
        <v>0.72000000000000008</v>
      </c>
      <c r="AJ121" s="704">
        <f ca="1">IF(Data!$E$83=1,Data!$L$117+Data!$F$59+AH121/Data!$L$116/Data!$E$59/Data!$L$115,Data!$E$90+Data!$F$59+AH121/Data!$G$90/Data!$E$59/Data!$D$90)</f>
        <v>0.72000000000000008</v>
      </c>
      <c r="AK121" s="704">
        <f t="shared" ca="1" si="31"/>
        <v>0.75764444444444479</v>
      </c>
      <c r="AL121" s="699">
        <f ca="1">IF(Data!$C$59=1,TRUNC(($A121*0.9-AG121)/$P$91*2000*PI()*0.8,0),IF(Data!$C$59=2,TRUNC(($A121*0.8-(AG121+0.1))/$P$91*2000*PI()*0.8,0),""))</f>
        <v>17</v>
      </c>
      <c r="AM121" s="706"/>
      <c r="AN121" s="707">
        <f t="shared" ca="1" si="32"/>
        <v>466.66666666666663</v>
      </c>
      <c r="AO121" s="707">
        <f t="shared" ca="1" si="33"/>
        <v>5600</v>
      </c>
      <c r="AP121" s="704">
        <f t="shared" ca="1" si="34"/>
        <v>0.32400000000000007</v>
      </c>
      <c r="AQ121" s="704">
        <f t="shared" ca="1" si="17"/>
        <v>0.32400000000000007</v>
      </c>
      <c r="AR121" s="704">
        <f t="shared" ca="1" si="35"/>
        <v>0.36000000000000004</v>
      </c>
      <c r="AS121" s="704">
        <f ca="1">IF(Data!$E$83=1,Data!$L$117+Data!$F$59+AQ121/Data!$L$116/Data!$E$59/Data!$L$115,Data!$E$90+Data!$F$59+AQ121/Data!$G$90/Data!$E$59/Data!$D$90)</f>
        <v>0.36000000000000004</v>
      </c>
      <c r="AT121" s="704">
        <f t="shared" ca="1" si="36"/>
        <v>0.75764444444444479</v>
      </c>
      <c r="AU121" s="699">
        <f ca="1">IF(Data!$C$59=1,TRUNC(($A121*0.9-AP121)/$P$90*2000*PI()*0.8,0),IF(Data!$C$59=2,TRUNC(($A121*0.8-(AP121+0.1))/$P$90*2000*PI()*0.8,0),""))</f>
        <v>359</v>
      </c>
      <c r="AV121" s="699"/>
      <c r="AW121" s="699"/>
      <c r="AX121" s="704">
        <f t="shared" ca="1" si="37"/>
        <v>1.0454196043956014</v>
      </c>
      <c r="AY121" s="707">
        <f t="shared" ca="1" si="38"/>
        <v>8000</v>
      </c>
      <c r="AZ121" s="707">
        <f t="shared" ca="1" si="39"/>
        <v>2666.666666666667</v>
      </c>
      <c r="BA121" s="704">
        <f t="shared" ca="1" si="40"/>
        <v>1.26</v>
      </c>
      <c r="BB121" s="699">
        <f ca="1">IF(Data!$C$59=1,TRUNC(($A55*0.9-BA121)/$P$92*2000*PI()*0.8,0),IF(Data!$C$59=2,TRUNC(($A55*0.8-(BA121+0.1))/$P$92*2000*PI()*0.8,0),""))</f>
        <v>-80</v>
      </c>
      <c r="BC121" s="699"/>
      <c r="BD121" s="704">
        <f t="shared" ca="1" si="41"/>
        <v>1.0454196043956014</v>
      </c>
      <c r="BE121" s="707">
        <f t="shared" ca="1" si="42"/>
        <v>8000</v>
      </c>
      <c r="BF121" s="707">
        <f t="shared" ca="1" si="50"/>
        <v>1333.3333333333335</v>
      </c>
      <c r="BG121" s="699">
        <f t="shared" ca="1" si="43"/>
        <v>0.84000000000000008</v>
      </c>
      <c r="BH121" s="699">
        <f ca="1">IF(Data!$C$59=1,TRUNC(($A55*0.9-BG121)/$P$91*2000*PI()*0.8,0),IF(Data!$C$59=2,TRUNC(($A55*0.8-(BG121+0.1))/$P$91*2000*PI()*0.8,0),""))</f>
        <v>50</v>
      </c>
      <c r="BI121" s="699"/>
      <c r="BJ121" s="704">
        <f t="shared" ca="1" si="44"/>
        <v>1.0454196043956014</v>
      </c>
      <c r="BK121" s="707">
        <f t="shared" ca="1" si="45"/>
        <v>8000</v>
      </c>
      <c r="BL121" s="707">
        <f t="shared" ca="1" si="46"/>
        <v>666.66666666666674</v>
      </c>
      <c r="BM121" s="699">
        <f t="shared" ca="1" si="47"/>
        <v>0.42000000000000004</v>
      </c>
      <c r="BN121" s="699">
        <f ca="1">IF(Data!$C$59=1,TRUNC(($A55*0.9-BM121)/$P$90*2000*PI()*0.8,0),IF(Data!$C$59=2,TRUNC(($A55*0.8-(BM121+0.1))/$P$90*2000*PI()*0.8,0),""))</f>
        <v>523</v>
      </c>
      <c r="BO121" s="699"/>
      <c r="BP121" s="699"/>
      <c r="BQ121" s="699"/>
      <c r="BR121" s="699"/>
      <c r="BS121" s="699"/>
      <c r="BT121" s="699"/>
      <c r="BU121" s="699"/>
      <c r="BV121" s="699"/>
      <c r="BW121" s="699"/>
      <c r="BX121" s="699"/>
      <c r="BY121" s="699"/>
      <c r="BZ121" s="699"/>
      <c r="CA121" s="699"/>
      <c r="CB121" s="699"/>
    </row>
    <row r="122" spans="1:80">
      <c r="A122" s="586">
        <f t="shared" ca="1" si="48"/>
        <v>0.7537333333333337</v>
      </c>
      <c r="B122" s="655">
        <f ca="1">0.72*$B$84</f>
        <v>5760</v>
      </c>
      <c r="C122" s="586">
        <f t="shared" ca="1" si="52"/>
        <v>-2.4444444444444465E-5</v>
      </c>
      <c r="D122" s="586">
        <f t="shared" ca="1" si="18"/>
        <v>0.7537333333333337</v>
      </c>
      <c r="M122" s="620">
        <v>800</v>
      </c>
      <c r="U122" s="707">
        <f t="shared" ca="1" si="21"/>
        <v>1920</v>
      </c>
      <c r="V122" s="707">
        <f t="shared" ca="1" si="22"/>
        <v>5760</v>
      </c>
      <c r="W122" s="704">
        <f t="shared" ca="1" si="23"/>
        <v>0.99119999999999986</v>
      </c>
      <c r="X122" s="704">
        <f t="shared" ca="1" si="24"/>
        <v>0.99119999999999986</v>
      </c>
      <c r="Y122" s="704" t="str">
        <f t="shared" ca="1" si="25"/>
        <v/>
      </c>
      <c r="Z122" s="704">
        <f ca="1">IF(Data!$E$83=1,Data!$L$117+Data!$F$59+X122/Data!$L$116/Data!$E$59/Data!$L$115,Data!$E$90+Data!$F$59+X122/Data!$G$90/Data!$E$59/Data!$D$90)</f>
        <v>1.1013333333333331</v>
      </c>
      <c r="AA122" s="705">
        <f t="shared" ca="1" si="26"/>
        <v>0.7537333333333337</v>
      </c>
      <c r="AB122" s="699">
        <f ca="1">IF(Data!$C$59=1,TRUNC(($A122*0.9-W122)/$P$92*2000*PI()*0.8,0),IF(Data!$C$59=2,TRUNC(($A122*0.8-(W122+0.1))/$P$92*2000*PI()*0.8,0),""))</f>
        <v>-78</v>
      </c>
      <c r="AC122" s="699"/>
      <c r="AD122" s="706"/>
      <c r="AE122" s="707">
        <f t="shared" ca="1" si="27"/>
        <v>960</v>
      </c>
      <c r="AF122" s="707">
        <f t="shared" ca="1" si="28"/>
        <v>5760</v>
      </c>
      <c r="AG122" s="704">
        <f t="shared" ca="1" si="29"/>
        <v>0.66080000000000005</v>
      </c>
      <c r="AH122" s="704">
        <f t="shared" ca="1" si="16"/>
        <v>0.66080000000000005</v>
      </c>
      <c r="AI122" s="705">
        <f t="shared" ca="1" si="30"/>
        <v>0.73422222222222222</v>
      </c>
      <c r="AJ122" s="704">
        <f ca="1">IF(Data!$E$83=1,Data!$L$117+Data!$F$59+AH122/Data!$L$116/Data!$E$59/Data!$L$115,Data!$E$90+Data!$F$59+AH122/Data!$G$90/Data!$E$59/Data!$D$90)</f>
        <v>0.73422222222222222</v>
      </c>
      <c r="AK122" s="704">
        <f t="shared" ca="1" si="31"/>
        <v>0.7537333333333337</v>
      </c>
      <c r="AL122" s="699">
        <f ca="1">IF(Data!$C$59=1,TRUNC(($A122*0.9-AG122)/$P$91*2000*PI()*0.8,0),IF(Data!$C$59=2,TRUNC(($A122*0.8-(AG122+0.1))/$P$91*2000*PI()*0.8,0),""))</f>
        <v>8</v>
      </c>
      <c r="AM122" s="706"/>
      <c r="AN122" s="707">
        <f t="shared" ca="1" si="32"/>
        <v>480</v>
      </c>
      <c r="AO122" s="707">
        <f t="shared" ca="1" si="33"/>
        <v>5760</v>
      </c>
      <c r="AP122" s="704">
        <f t="shared" ca="1" si="34"/>
        <v>0.33040000000000003</v>
      </c>
      <c r="AQ122" s="704">
        <f t="shared" ca="1" si="17"/>
        <v>0.33040000000000003</v>
      </c>
      <c r="AR122" s="704">
        <f t="shared" ca="1" si="35"/>
        <v>0.36711111111111111</v>
      </c>
      <c r="AS122" s="704">
        <f ca="1">IF(Data!$E$83=1,Data!$L$117+Data!$F$59+AQ122/Data!$L$116/Data!$E$59/Data!$L$115,Data!$E$90+Data!$F$59+AQ122/Data!$G$90/Data!$E$59/Data!$D$90)</f>
        <v>0.36711111111111111</v>
      </c>
      <c r="AT122" s="704">
        <f t="shared" ca="1" si="36"/>
        <v>0.7537333333333337</v>
      </c>
      <c r="AU122" s="699">
        <f ca="1">IF(Data!$C$59=1,TRUNC(($A122*0.9-AP122)/$P$90*2000*PI()*0.8,0),IF(Data!$C$59=2,TRUNC(($A122*0.8-(AP122+0.1))/$P$90*2000*PI()*0.8,0),""))</f>
        <v>349</v>
      </c>
      <c r="AV122" s="699"/>
      <c r="AW122" s="699"/>
      <c r="AX122" s="704">
        <f t="shared" ca="1" si="37"/>
        <v>0.98455384615384289</v>
      </c>
      <c r="AY122" s="707">
        <f t="shared" ca="1" si="38"/>
        <v>8000</v>
      </c>
      <c r="AZ122" s="707">
        <f t="shared" ca="1" si="39"/>
        <v>2666.666666666667</v>
      </c>
      <c r="BA122" s="704">
        <f t="shared" ca="1" si="40"/>
        <v>1.26</v>
      </c>
      <c r="BB122" s="699">
        <f ca="1">IF(Data!$C$59=1,TRUNC(($A56*0.9-BA122)/$P$92*2000*PI()*0.8,0),IF(Data!$C$59=2,TRUNC(($A56*0.8-(BA122+0.1))/$P$92*2000*PI()*0.8,0),""))</f>
        <v>-93</v>
      </c>
      <c r="BC122" s="699"/>
      <c r="BD122" s="704">
        <f t="shared" ca="1" si="41"/>
        <v>0.98455384615384289</v>
      </c>
      <c r="BE122" s="707">
        <f t="shared" ca="1" si="42"/>
        <v>8000</v>
      </c>
      <c r="BF122" s="707">
        <f t="shared" ca="1" si="50"/>
        <v>1333.3333333333335</v>
      </c>
      <c r="BG122" s="699">
        <f t="shared" ca="1" si="43"/>
        <v>0.84000000000000008</v>
      </c>
      <c r="BH122" s="699">
        <f ca="1">IF(Data!$C$59=1,TRUNC(($A56*0.9-BG122)/$P$91*2000*PI()*0.8,0),IF(Data!$C$59=2,TRUNC(($A56*0.8-(BG122+0.1))/$P$91*2000*PI()*0.8,0),""))</f>
        <v>23</v>
      </c>
      <c r="BI122" s="699"/>
      <c r="BJ122" s="704">
        <f t="shared" ca="1" si="44"/>
        <v>0.98455384615384289</v>
      </c>
      <c r="BK122" s="707">
        <f t="shared" ca="1" si="45"/>
        <v>8000</v>
      </c>
      <c r="BL122" s="707">
        <f t="shared" ca="1" si="46"/>
        <v>666.66666666666674</v>
      </c>
      <c r="BM122" s="699">
        <f t="shared" ca="1" si="47"/>
        <v>0.42000000000000004</v>
      </c>
      <c r="BN122" s="699">
        <f ca="1">IF(Data!$C$59=1,TRUNC(($A56*0.9-BM122)/$P$90*2000*PI()*0.8,0),IF(Data!$C$59=2,TRUNC(($A56*0.8-(BM122+0.1))/$P$90*2000*PI()*0.8,0),""))</f>
        <v>468</v>
      </c>
      <c r="BO122" s="699"/>
      <c r="BP122" s="699"/>
      <c r="BQ122" s="699"/>
      <c r="BR122" s="699"/>
      <c r="BS122" s="699"/>
      <c r="BT122" s="699"/>
      <c r="BU122" s="699"/>
      <c r="BV122" s="699"/>
      <c r="BW122" s="699"/>
      <c r="BX122" s="699"/>
      <c r="BY122" s="699"/>
      <c r="BZ122" s="699"/>
      <c r="CA122" s="699"/>
      <c r="CB122" s="699"/>
    </row>
    <row r="123" spans="1:80">
      <c r="A123" s="586">
        <f t="shared" ca="1" si="48"/>
        <v>0.74982222222222261</v>
      </c>
      <c r="B123" s="655">
        <f ca="1">0.74*$B$84</f>
        <v>5920</v>
      </c>
      <c r="C123" s="586">
        <f t="shared" ca="1" si="52"/>
        <v>-2.4444444444444465E-5</v>
      </c>
      <c r="D123" s="586">
        <f t="shared" ca="1" si="18"/>
        <v>0.74982222222222261</v>
      </c>
      <c r="M123" s="620">
        <v>700</v>
      </c>
      <c r="U123" s="707">
        <f t="shared" ca="1" si="21"/>
        <v>1973.3333333333335</v>
      </c>
      <c r="V123" s="707">
        <f t="shared" ca="1" si="22"/>
        <v>5920</v>
      </c>
      <c r="W123" s="704">
        <f t="shared" ca="1" si="23"/>
        <v>1.0104</v>
      </c>
      <c r="X123" s="704">
        <f t="shared" ca="1" si="24"/>
        <v>1.0104</v>
      </c>
      <c r="Y123" s="704" t="str">
        <f t="shared" ca="1" si="25"/>
        <v/>
      </c>
      <c r="Z123" s="704">
        <f ca="1">IF(Data!$E$83=1,Data!$L$117+Data!$F$59+X123/Data!$L$116/Data!$E$59/Data!$L$115,Data!$E$90+Data!$F$59+X123/Data!$G$90/Data!$E$59/Data!$D$90)</f>
        <v>1.1226666666666667</v>
      </c>
      <c r="AA123" s="705">
        <f t="shared" ca="1" si="26"/>
        <v>0.74982222222222261</v>
      </c>
      <c r="AB123" s="699">
        <f ca="1">IF(Data!$C$59=1,TRUNC(($A123*0.9-W123)/$P$92*2000*PI()*0.8,0),IF(Data!$C$59=2,TRUNC(($A123*0.8-(W123+0.1))/$P$92*2000*PI()*0.8,0),""))</f>
        <v>-84</v>
      </c>
      <c r="AC123" s="699"/>
      <c r="AD123" s="706"/>
      <c r="AE123" s="707">
        <f t="shared" ca="1" si="27"/>
        <v>986.66666666666674</v>
      </c>
      <c r="AF123" s="707">
        <f t="shared" ca="1" si="28"/>
        <v>5920</v>
      </c>
      <c r="AG123" s="704">
        <f t="shared" ca="1" si="29"/>
        <v>0.67359999999999998</v>
      </c>
      <c r="AH123" s="704">
        <f t="shared" ca="1" si="16"/>
        <v>0.67359999999999998</v>
      </c>
      <c r="AI123" s="705">
        <f t="shared" ca="1" si="30"/>
        <v>0.74844444444444436</v>
      </c>
      <c r="AJ123" s="704">
        <f ca="1">IF(Data!$E$83=1,Data!$L$117+Data!$F$59+AH123/Data!$L$116/Data!$E$59/Data!$L$115,Data!$E$90+Data!$F$59+AH123/Data!$G$90/Data!$E$59/Data!$D$90)</f>
        <v>0.74844444444444436</v>
      </c>
      <c r="AK123" s="704">
        <f t="shared" ca="1" si="31"/>
        <v>0.74982222222222261</v>
      </c>
      <c r="AL123" s="699">
        <f ca="1">IF(Data!$C$59=1,TRUNC(($A123*0.9-AG123)/$P$91*2000*PI()*0.8,0),IF(Data!$C$59=2,TRUNC(($A123*0.8-(AG123+0.1))/$P$91*2000*PI()*0.8,0),""))</f>
        <v>0</v>
      </c>
      <c r="AM123" s="706"/>
      <c r="AN123" s="707">
        <f t="shared" ca="1" si="32"/>
        <v>493.33333333333337</v>
      </c>
      <c r="AO123" s="707">
        <f t="shared" ca="1" si="33"/>
        <v>5920</v>
      </c>
      <c r="AP123" s="704">
        <f t="shared" ca="1" si="34"/>
        <v>0.33679999999999999</v>
      </c>
      <c r="AQ123" s="704">
        <f t="shared" ca="1" si="17"/>
        <v>0.33679999999999999</v>
      </c>
      <c r="AR123" s="704">
        <f t="shared" ca="1" si="35"/>
        <v>0.37422222222222218</v>
      </c>
      <c r="AS123" s="704">
        <f ca="1">IF(Data!$E$83=1,Data!$L$117+Data!$F$59+AQ123/Data!$L$116/Data!$E$59/Data!$L$115,Data!$E$90+Data!$F$59+AQ123/Data!$G$90/Data!$E$59/Data!$D$90)</f>
        <v>0.37422222222222218</v>
      </c>
      <c r="AT123" s="704">
        <f t="shared" ca="1" si="36"/>
        <v>0.74982222222222261</v>
      </c>
      <c r="AU123" s="699">
        <f ca="1">IF(Data!$C$59=1,TRUNC(($A123*0.9-AP123)/$P$90*2000*PI()*0.8,0),IF(Data!$C$59=2,TRUNC(($A123*0.8-(AP123+0.1))/$P$90*2000*PI()*0.8,0),""))</f>
        <v>339</v>
      </c>
      <c r="AV123" s="699"/>
      <c r="AW123" s="699"/>
      <c r="AX123" s="704">
        <f t="shared" ca="1" si="37"/>
        <v>0.92309169230768928</v>
      </c>
      <c r="AY123" s="707">
        <f t="shared" ca="1" si="38"/>
        <v>8000</v>
      </c>
      <c r="AZ123" s="707">
        <f t="shared" ca="1" si="39"/>
        <v>2666.666666666667</v>
      </c>
      <c r="BA123" s="704">
        <f t="shared" ca="1" si="40"/>
        <v>1.26</v>
      </c>
      <c r="BB123" s="699">
        <f ca="1">IF(Data!$C$59=1,TRUNC(($A57*0.9-BA123)/$P$92*2000*PI()*0.8,0),IF(Data!$C$59=2,TRUNC(($A57*0.8-(BA123+0.1))/$P$92*2000*PI()*0.8,0),""))</f>
        <v>-107</v>
      </c>
      <c r="BC123" s="699"/>
      <c r="BD123" s="704">
        <f t="shared" ca="1" si="41"/>
        <v>0.92309169230768928</v>
      </c>
      <c r="BE123" s="707">
        <f t="shared" ca="1" si="42"/>
        <v>8000</v>
      </c>
      <c r="BF123" s="707">
        <f t="shared" ca="1" si="50"/>
        <v>1333.3333333333335</v>
      </c>
      <c r="BG123" s="699">
        <f t="shared" ca="1" si="43"/>
        <v>0.84000000000000008</v>
      </c>
      <c r="BH123" s="699">
        <f ca="1">IF(Data!$C$59=1,TRUNC(($A57*0.9-BG123)/$P$91*2000*PI()*0.8,0),IF(Data!$C$59=2,TRUNC(($A57*0.8-(BG123+0.1))/$P$91*2000*PI()*0.8,0),""))</f>
        <v>-4</v>
      </c>
      <c r="BI123" s="699"/>
      <c r="BJ123" s="704">
        <f t="shared" ca="1" si="44"/>
        <v>0.92309169230768928</v>
      </c>
      <c r="BK123" s="707">
        <f t="shared" ca="1" si="45"/>
        <v>8000</v>
      </c>
      <c r="BL123" s="707">
        <f t="shared" ca="1" si="46"/>
        <v>666.66666666666674</v>
      </c>
      <c r="BM123" s="699">
        <f t="shared" ca="1" si="47"/>
        <v>0.42000000000000004</v>
      </c>
      <c r="BN123" s="699">
        <f ca="1">IF(Data!$C$59=1,TRUNC(($A57*0.9-BM123)/$P$90*2000*PI()*0.8,0),IF(Data!$C$59=2,TRUNC(($A57*0.8-(BM123+0.1))/$P$90*2000*PI()*0.8,0),""))</f>
        <v>412</v>
      </c>
      <c r="BO123" s="699"/>
      <c r="BP123" s="699"/>
      <c r="BQ123" s="699"/>
      <c r="BR123" s="699"/>
      <c r="BS123" s="699"/>
      <c r="BT123" s="699"/>
      <c r="BU123" s="699"/>
      <c r="BV123" s="699"/>
      <c r="BW123" s="699"/>
      <c r="BX123" s="699"/>
      <c r="BY123" s="699"/>
      <c r="BZ123" s="699"/>
      <c r="CA123" s="699"/>
      <c r="CB123" s="699"/>
    </row>
    <row r="124" spans="1:80">
      <c r="A124" s="586">
        <f t="shared" ca="1" si="48"/>
        <v>0.74591111111111152</v>
      </c>
      <c r="B124" s="655">
        <f ca="1">0.76*$B$84</f>
        <v>6080</v>
      </c>
      <c r="C124" s="586">
        <f t="shared" ca="1" si="52"/>
        <v>-2.4444444444444465E-5</v>
      </c>
      <c r="D124" s="586">
        <f t="shared" ca="1" si="18"/>
        <v>0.74591111111111152</v>
      </c>
      <c r="M124" s="620">
        <v>600</v>
      </c>
      <c r="U124" s="707">
        <f t="shared" ca="1" si="21"/>
        <v>2026.6666666666665</v>
      </c>
      <c r="V124" s="707">
        <f t="shared" ca="1" si="22"/>
        <v>6080</v>
      </c>
      <c r="W124" s="704">
        <f t="shared" ca="1" si="23"/>
        <v>1.0295999999999998</v>
      </c>
      <c r="X124" s="704">
        <f t="shared" ca="1" si="24"/>
        <v>1.0295999999999998</v>
      </c>
      <c r="Y124" s="704" t="str">
        <f t="shared" ca="1" si="25"/>
        <v/>
      </c>
      <c r="Z124" s="704">
        <f ca="1">IF(Data!$E$83=1,Data!$L$117+Data!$F$59+X124/Data!$L$116/Data!$E$59/Data!$L$115,Data!$E$90+Data!$F$59+X124/Data!$G$90/Data!$E$59/Data!$D$90)</f>
        <v>1.1439999999999999</v>
      </c>
      <c r="AA124" s="705">
        <f t="shared" ca="1" si="26"/>
        <v>0.74591111111111152</v>
      </c>
      <c r="AB124" s="699">
        <f ca="1">IF(Data!$C$59=1,TRUNC(($A124*0.9-W124)/$P$92*2000*PI()*0.8,0),IF(Data!$C$59=2,TRUNC(($A124*0.8-(W124+0.1))/$P$92*2000*PI()*0.8,0),""))</f>
        <v>-90</v>
      </c>
      <c r="AC124" s="699"/>
      <c r="AD124" s="706"/>
      <c r="AE124" s="707">
        <f t="shared" ca="1" si="27"/>
        <v>1013.3333333333333</v>
      </c>
      <c r="AF124" s="707">
        <f t="shared" ca="1" si="28"/>
        <v>6080</v>
      </c>
      <c r="AG124" s="704">
        <f t="shared" ca="1" si="29"/>
        <v>0.68640000000000001</v>
      </c>
      <c r="AH124" s="704">
        <f t="shared" ca="1" si="16"/>
        <v>0.68640000000000001</v>
      </c>
      <c r="AI124" s="705" t="str">
        <f t="shared" ca="1" si="30"/>
        <v/>
      </c>
      <c r="AJ124" s="704">
        <f ca="1">IF(Data!$E$83=1,Data!$L$117+Data!$F$59+AH124/Data!$L$116/Data!$E$59/Data!$L$115,Data!$E$90+Data!$F$59+AH124/Data!$G$90/Data!$E$59/Data!$D$90)</f>
        <v>0.7626666666666666</v>
      </c>
      <c r="AK124" s="704">
        <f t="shared" ca="1" si="31"/>
        <v>0.74591111111111152</v>
      </c>
      <c r="AL124" s="699">
        <f ca="1">IF(Data!$C$59=1,TRUNC(($A124*0.9-AG124)/$P$91*2000*PI()*0.8,0),IF(Data!$C$59=2,TRUNC(($A124*0.8-(AG124+0.1))/$P$91*2000*PI()*0.8,0),""))</f>
        <v>-7</v>
      </c>
      <c r="AM124" s="706"/>
      <c r="AN124" s="707">
        <f t="shared" ca="1" si="32"/>
        <v>506.66666666666663</v>
      </c>
      <c r="AO124" s="707">
        <f t="shared" ca="1" si="33"/>
        <v>6080</v>
      </c>
      <c r="AP124" s="704">
        <f t="shared" ca="1" si="34"/>
        <v>0.34320000000000001</v>
      </c>
      <c r="AQ124" s="704">
        <f t="shared" ca="1" si="17"/>
        <v>0.34320000000000001</v>
      </c>
      <c r="AR124" s="704">
        <f t="shared" ca="1" si="35"/>
        <v>0.3813333333333333</v>
      </c>
      <c r="AS124" s="704">
        <f ca="1">IF(Data!$E$83=1,Data!$L$117+Data!$F$59+AQ124/Data!$L$116/Data!$E$59/Data!$L$115,Data!$E$90+Data!$F$59+AQ124/Data!$G$90/Data!$E$59/Data!$D$90)</f>
        <v>0.3813333333333333</v>
      </c>
      <c r="AT124" s="704">
        <f t="shared" ca="1" si="36"/>
        <v>0.74591111111111152</v>
      </c>
      <c r="AU124" s="699">
        <f ca="1">IF(Data!$C$59=1,TRUNC(($A124*0.9-AP124)/$P$90*2000*PI()*0.8,0),IF(Data!$C$59=2,TRUNC(($A124*0.8-(AP124+0.1))/$P$90*2000*PI()*0.8,0),""))</f>
        <v>329</v>
      </c>
      <c r="AV124" s="699"/>
      <c r="AW124" s="699"/>
      <c r="AX124" s="704">
        <f t="shared" ca="1" si="37"/>
        <v>0.86103314285713972</v>
      </c>
      <c r="AY124" s="707">
        <f t="shared" ca="1" si="38"/>
        <v>8000</v>
      </c>
      <c r="AZ124" s="707">
        <f t="shared" ca="1" si="39"/>
        <v>2666.666666666667</v>
      </c>
      <c r="BA124" s="704">
        <f t="shared" ca="1" si="40"/>
        <v>1.26</v>
      </c>
      <c r="BB124" s="699">
        <f ca="1">IF(Data!$C$59=1,TRUNC(($A58*0.9-BA124)/$P$92*2000*PI()*0.8,0),IF(Data!$C$59=2,TRUNC(($A58*0.8-(BA124+0.1))/$P$92*2000*PI()*0.8,0),""))</f>
        <v>-121</v>
      </c>
      <c r="BC124" s="699"/>
      <c r="BD124" s="704">
        <f t="shared" ca="1" si="41"/>
        <v>0.86103314285713972</v>
      </c>
      <c r="BE124" s="707">
        <f t="shared" ca="1" si="42"/>
        <v>8000</v>
      </c>
      <c r="BF124" s="707">
        <f t="shared" ca="1" si="50"/>
        <v>1333.3333333333335</v>
      </c>
      <c r="BG124" s="699">
        <f t="shared" ca="1" si="43"/>
        <v>0.84000000000000008</v>
      </c>
      <c r="BH124" s="699">
        <f ca="1">IF(Data!$C$59=1,TRUNC(($A58*0.9-BG124)/$P$91*2000*PI()*0.8,0),IF(Data!$C$59=2,TRUNC(($A58*0.8-(BG124+0.1))/$P$91*2000*PI()*0.8,0),""))</f>
        <v>-32</v>
      </c>
      <c r="BI124" s="699"/>
      <c r="BJ124" s="704">
        <f t="shared" ca="1" si="44"/>
        <v>0.86103314285713972</v>
      </c>
      <c r="BK124" s="707">
        <f t="shared" ca="1" si="45"/>
        <v>8000</v>
      </c>
      <c r="BL124" s="707">
        <f t="shared" ca="1" si="46"/>
        <v>666.66666666666674</v>
      </c>
      <c r="BM124" s="699">
        <f t="shared" ca="1" si="47"/>
        <v>0.42000000000000004</v>
      </c>
      <c r="BN124" s="699">
        <f ca="1">IF(Data!$C$59=1,TRUNC(($A58*0.9-BM124)/$P$90*2000*PI()*0.8,0),IF(Data!$C$59=2,TRUNC(($A58*0.8-(BM124+0.1))/$P$90*2000*PI()*0.8,0),""))</f>
        <v>356</v>
      </c>
      <c r="BO124" s="699"/>
      <c r="BP124" s="699"/>
      <c r="BQ124" s="699"/>
      <c r="BR124" s="699"/>
      <c r="BS124" s="699"/>
      <c r="BT124" s="699"/>
      <c r="BU124" s="699"/>
      <c r="BV124" s="699"/>
      <c r="BW124" s="699"/>
      <c r="BX124" s="699"/>
      <c r="BY124" s="699"/>
      <c r="BZ124" s="699"/>
      <c r="CA124" s="699"/>
      <c r="CB124" s="699"/>
    </row>
    <row r="125" spans="1:80">
      <c r="A125" s="586">
        <f t="shared" ca="1" si="48"/>
        <v>0.74200000000000044</v>
      </c>
      <c r="B125" s="655">
        <f ca="1">0.78*$B$84</f>
        <v>6240</v>
      </c>
      <c r="C125" s="586">
        <f ca="1">IF(B125&lt;$B$79,$E$79,IF(B125&lt;$B$80,$E$80,IF(B125&lt;$B$81,$E$81,IF(B125&lt;$B$82,$E$82,$E$83 ) ) ))</f>
        <v>-2.4444444444444465E-5</v>
      </c>
      <c r="D125" s="586">
        <f t="shared" ca="1" si="18"/>
        <v>0.74200000000000044</v>
      </c>
      <c r="M125" s="620">
        <v>500</v>
      </c>
      <c r="U125" s="707">
        <f t="shared" ca="1" si="21"/>
        <v>2080</v>
      </c>
      <c r="V125" s="707">
        <f t="shared" ca="1" si="22"/>
        <v>6240</v>
      </c>
      <c r="W125" s="704">
        <f t="shared" ca="1" si="23"/>
        <v>1.0488</v>
      </c>
      <c r="X125" s="704">
        <f t="shared" ca="1" si="24"/>
        <v>1.0488</v>
      </c>
      <c r="Y125" s="704" t="str">
        <f t="shared" ca="1" si="25"/>
        <v/>
      </c>
      <c r="Z125" s="704">
        <f ca="1">IF(Data!$E$83=1,Data!$L$117+Data!$F$59+X125/Data!$L$116/Data!$E$59/Data!$L$115,Data!$E$90+Data!$F$59+X125/Data!$G$90/Data!$E$59/Data!$D$90)</f>
        <v>1.1653333333333333</v>
      </c>
      <c r="AA125" s="705">
        <f t="shared" ca="1" si="26"/>
        <v>0.74200000000000044</v>
      </c>
      <c r="AB125" s="699">
        <f ca="1">IF(Data!$C$59=1,TRUNC(($A125*0.9-W125)/$P$92*2000*PI()*0.8,0),IF(Data!$C$59=2,TRUNC(($A125*0.8-(W125+0.1))/$P$92*2000*PI()*0.8,0),""))</f>
        <v>-95</v>
      </c>
      <c r="AC125" s="699"/>
      <c r="AD125" s="706"/>
      <c r="AE125" s="707">
        <f t="shared" ca="1" si="27"/>
        <v>1040</v>
      </c>
      <c r="AF125" s="707">
        <f t="shared" ca="1" si="28"/>
        <v>6240</v>
      </c>
      <c r="AG125" s="704">
        <f t="shared" ca="1" si="29"/>
        <v>0.69920000000000004</v>
      </c>
      <c r="AH125" s="704">
        <f t="shared" ca="1" si="16"/>
        <v>0.69920000000000004</v>
      </c>
      <c r="AI125" s="705" t="str">
        <f t="shared" ca="1" si="30"/>
        <v/>
      </c>
      <c r="AJ125" s="704">
        <f ca="1">IF(Data!$E$83=1,Data!$L$117+Data!$F$59+AH125/Data!$L$116/Data!$E$59/Data!$L$115,Data!$E$90+Data!$F$59+AH125/Data!$G$90/Data!$E$59/Data!$D$90)</f>
        <v>0.77688888888888896</v>
      </c>
      <c r="AK125" s="704">
        <f t="shared" ca="1" si="31"/>
        <v>0.74200000000000044</v>
      </c>
      <c r="AL125" s="699">
        <f ca="1">IF(Data!$C$59=1,TRUNC(($A125*0.9-AG125)/$P$91*2000*PI()*0.8,0),IF(Data!$C$59=2,TRUNC(($A125*0.8-(AG125+0.1))/$P$91*2000*PI()*0.8,0),""))</f>
        <v>-15</v>
      </c>
      <c r="AM125" s="706"/>
      <c r="AN125" s="707">
        <f t="shared" ca="1" si="32"/>
        <v>520</v>
      </c>
      <c r="AO125" s="707">
        <f t="shared" ca="1" si="33"/>
        <v>6240</v>
      </c>
      <c r="AP125" s="704">
        <f t="shared" ca="1" si="34"/>
        <v>0.34960000000000002</v>
      </c>
      <c r="AQ125" s="704">
        <f t="shared" ca="1" si="17"/>
        <v>0.34960000000000002</v>
      </c>
      <c r="AR125" s="704">
        <f t="shared" ca="1" si="35"/>
        <v>0.38844444444444448</v>
      </c>
      <c r="AS125" s="704">
        <f ca="1">IF(Data!$E$83=1,Data!$L$117+Data!$F$59+AQ125/Data!$L$116/Data!$E$59/Data!$L$115,Data!$E$90+Data!$F$59+AQ125/Data!$G$90/Data!$E$59/Data!$D$90)</f>
        <v>0.38844444444444448</v>
      </c>
      <c r="AT125" s="704">
        <f t="shared" ca="1" si="36"/>
        <v>0.74200000000000044</v>
      </c>
      <c r="AU125" s="699">
        <f ca="1">IF(Data!$C$59=1,TRUNC(($A125*0.9-AP125)/$P$90*2000*PI()*0.8,0),IF(Data!$C$59=2,TRUNC(($A125*0.8-(AP125+0.1))/$P$90*2000*PI()*0.8,0),""))</f>
        <v>319</v>
      </c>
      <c r="AV125" s="699"/>
      <c r="AW125" s="699"/>
      <c r="AX125" s="704">
        <f t="shared" ca="1" si="37"/>
        <v>0.79837819780219466</v>
      </c>
      <c r="AY125" s="707">
        <f t="shared" ca="1" si="38"/>
        <v>8000</v>
      </c>
      <c r="AZ125" s="707">
        <f t="shared" ca="1" si="39"/>
        <v>2666.666666666667</v>
      </c>
      <c r="BA125" s="704">
        <f t="shared" ca="1" si="40"/>
        <v>1.26</v>
      </c>
      <c r="BB125" s="699">
        <f ca="1">IF(Data!$C$59=1,TRUNC(($A59*0.9-BA125)/$P$92*2000*PI()*0.8,0),IF(Data!$C$59=2,TRUNC(($A59*0.8-(BA125+0.1))/$P$92*2000*PI()*0.8,0),""))</f>
        <v>-136</v>
      </c>
      <c r="BC125" s="699"/>
      <c r="BD125" s="704">
        <f t="shared" ca="1" si="41"/>
        <v>0.79837819780219466</v>
      </c>
      <c r="BE125" s="707">
        <f t="shared" ca="1" si="42"/>
        <v>8000</v>
      </c>
      <c r="BF125" s="707">
        <f t="shared" ca="1" si="50"/>
        <v>1333.3333333333335</v>
      </c>
      <c r="BG125" s="699">
        <f t="shared" ca="1" si="43"/>
        <v>0.84000000000000008</v>
      </c>
      <c r="BH125" s="699">
        <f ca="1">IF(Data!$C$59=1,TRUNC(($A59*0.9-BG125)/$P$91*2000*PI()*0.8,0),IF(Data!$C$59=2,TRUNC(($A59*0.8-(BG125+0.1))/$P$91*2000*PI()*0.8,0),""))</f>
        <v>-61</v>
      </c>
      <c r="BI125" s="699"/>
      <c r="BJ125" s="704">
        <f t="shared" ca="1" si="44"/>
        <v>0.79837819780219466</v>
      </c>
      <c r="BK125" s="707">
        <f t="shared" ca="1" si="45"/>
        <v>8000</v>
      </c>
      <c r="BL125" s="707">
        <f t="shared" ca="1" si="46"/>
        <v>666.66666666666674</v>
      </c>
      <c r="BM125" s="699">
        <f t="shared" ca="1" si="47"/>
        <v>0.42000000000000004</v>
      </c>
      <c r="BN125" s="699">
        <f ca="1">IF(Data!$C$59=1,TRUNC(($A59*0.9-BM125)/$P$90*2000*PI()*0.8,0),IF(Data!$C$59=2,TRUNC(($A59*0.8-(BM125+0.1))/$P$90*2000*PI()*0.8,0),""))</f>
        <v>300</v>
      </c>
      <c r="BO125" s="699"/>
      <c r="BP125" s="699"/>
      <c r="BQ125" s="699"/>
      <c r="BR125" s="699"/>
      <c r="BS125" s="699"/>
      <c r="BT125" s="699"/>
      <c r="BU125" s="699"/>
      <c r="BV125" s="699"/>
      <c r="BW125" s="699"/>
      <c r="BX125" s="699"/>
      <c r="BY125" s="699"/>
      <c r="BZ125" s="699"/>
      <c r="CA125" s="699"/>
      <c r="CB125" s="699"/>
    </row>
    <row r="126" spans="1:80">
      <c r="A126" s="586">
        <f t="shared" ca="1" si="48"/>
        <v>0.73808888888888935</v>
      </c>
      <c r="B126" s="655">
        <f ca="1">0.8*$B$84</f>
        <v>6400</v>
      </c>
      <c r="C126" s="586">
        <f t="shared" ref="C126:C135" ca="1" si="53">IF(B126&lt;$B$79,$E$79,IF(B126&lt;$B$80,$E$80,IF(B126&lt;$B$81,$E$81,IF(B126&lt;$B$82,$E$82,$E$83 ) ) ))</f>
        <v>-2.4444444444444465E-5</v>
      </c>
      <c r="D126" s="586">
        <f t="shared" ca="1" si="18"/>
        <v>0.73808888888888935</v>
      </c>
      <c r="M126" s="620">
        <v>400</v>
      </c>
      <c r="U126" s="707">
        <f t="shared" ca="1" si="21"/>
        <v>2133.3333333333335</v>
      </c>
      <c r="V126" s="707">
        <f t="shared" ca="1" si="22"/>
        <v>6400</v>
      </c>
      <c r="W126" s="704">
        <f t="shared" ca="1" si="23"/>
        <v>1.0680000000000001</v>
      </c>
      <c r="X126" s="704">
        <f t="shared" ca="1" si="24"/>
        <v>1.0680000000000001</v>
      </c>
      <c r="Y126" s="704" t="str">
        <f t="shared" ca="1" si="25"/>
        <v/>
      </c>
      <c r="Z126" s="704">
        <f ca="1">IF(Data!$E$83=1,Data!$L$117+Data!$F$59+X126/Data!$L$116/Data!$E$59/Data!$L$115,Data!$E$90+Data!$F$59+X126/Data!$G$90/Data!$E$59/Data!$D$90)</f>
        <v>1.1866666666666668</v>
      </c>
      <c r="AA126" s="705">
        <f t="shared" ca="1" si="26"/>
        <v>0.73808888888888935</v>
      </c>
      <c r="AB126" s="699">
        <f ca="1">IF(Data!$C$59=1,TRUNC(($A126*0.9-W126)/$P$92*2000*PI()*0.8,0),IF(Data!$C$59=2,TRUNC(($A126*0.8-(W126+0.1))/$P$92*2000*PI()*0.8,0),""))</f>
        <v>-101</v>
      </c>
      <c r="AC126" s="699"/>
      <c r="AD126" s="706"/>
      <c r="AE126" s="707">
        <f t="shared" ca="1" si="27"/>
        <v>1066.6666666666667</v>
      </c>
      <c r="AF126" s="707">
        <f t="shared" ca="1" si="28"/>
        <v>6400</v>
      </c>
      <c r="AG126" s="704">
        <f t="shared" ca="1" si="29"/>
        <v>0.71199999999999997</v>
      </c>
      <c r="AH126" s="704">
        <f t="shared" ca="1" si="16"/>
        <v>0.71199999999999997</v>
      </c>
      <c r="AI126" s="705" t="str">
        <f t="shared" ca="1" si="30"/>
        <v/>
      </c>
      <c r="AJ126" s="704">
        <f ca="1">IF(Data!$E$83=1,Data!$L$117+Data!$F$59+AH126/Data!$L$116/Data!$E$59/Data!$L$115,Data!$E$90+Data!$F$59+AH126/Data!$G$90/Data!$E$59/Data!$D$90)</f>
        <v>0.7911111111111111</v>
      </c>
      <c r="AK126" s="704">
        <f t="shared" ca="1" si="31"/>
        <v>0.73808888888888935</v>
      </c>
      <c r="AL126" s="699">
        <f ca="1">IF(Data!$C$59=1,TRUNC(($A126*0.9-AG126)/$P$91*2000*PI()*0.8,0),IF(Data!$C$59=2,TRUNC(($A126*0.8-(AG126+0.1))/$P$91*2000*PI()*0.8,0),""))</f>
        <v>-23</v>
      </c>
      <c r="AM126" s="706"/>
      <c r="AN126" s="707">
        <f t="shared" ca="1" si="32"/>
        <v>533.33333333333337</v>
      </c>
      <c r="AO126" s="707">
        <f t="shared" ca="1" si="33"/>
        <v>6400</v>
      </c>
      <c r="AP126" s="704">
        <f t="shared" ca="1" si="34"/>
        <v>0.35599999999999998</v>
      </c>
      <c r="AQ126" s="704">
        <f t="shared" ca="1" si="17"/>
        <v>0.35599999999999998</v>
      </c>
      <c r="AR126" s="704">
        <f t="shared" ca="1" si="35"/>
        <v>0.39555555555555555</v>
      </c>
      <c r="AS126" s="704">
        <f ca="1">IF(Data!$E$83=1,Data!$L$117+Data!$F$59+AQ126/Data!$L$116/Data!$E$59/Data!$L$115,Data!$E$90+Data!$F$59+AQ126/Data!$G$90/Data!$E$59/Data!$D$90)</f>
        <v>0.39555555555555555</v>
      </c>
      <c r="AT126" s="704">
        <f t="shared" ca="1" si="36"/>
        <v>0.73808888888888935</v>
      </c>
      <c r="AU126" s="699">
        <f ca="1">IF(Data!$C$59=1,TRUNC(($A126*0.9-AP126)/$P$90*2000*PI()*0.8,0),IF(Data!$C$59=2,TRUNC(($A126*0.8-(AP126+0.1))/$P$90*2000*PI()*0.8,0),""))</f>
        <v>309</v>
      </c>
      <c r="AV126" s="699"/>
      <c r="AW126" s="699"/>
      <c r="AX126" s="704">
        <f t="shared" ca="1" si="37"/>
        <v>0.73512685714285386</v>
      </c>
      <c r="AY126" s="707">
        <f t="shared" ca="1" si="38"/>
        <v>8000</v>
      </c>
      <c r="AZ126" s="707">
        <f t="shared" ca="1" si="39"/>
        <v>2666.666666666667</v>
      </c>
      <c r="BA126" s="704">
        <f t="shared" ca="1" si="40"/>
        <v>1.26</v>
      </c>
      <c r="BB126" s="699">
        <f ca="1">IF(Data!$C$59=1,TRUNC(($A60*0.9-BA126)/$P$92*2000*PI()*0.8,0),IF(Data!$C$59=2,TRUNC(($A60*0.8-(BA126+0.1))/$P$92*2000*PI()*0.8,0),""))</f>
        <v>-150</v>
      </c>
      <c r="BC126" s="699"/>
      <c r="BD126" s="704">
        <f t="shared" ca="1" si="41"/>
        <v>0.73512685714285386</v>
      </c>
      <c r="BE126" s="707">
        <f t="shared" ca="1" si="42"/>
        <v>8000</v>
      </c>
      <c r="BF126" s="707">
        <f t="shared" ca="1" si="50"/>
        <v>1333.3333333333335</v>
      </c>
      <c r="BG126" s="699">
        <f t="shared" ca="1" si="43"/>
        <v>0.84000000000000008</v>
      </c>
      <c r="BH126" s="699">
        <f ca="1">IF(Data!$C$59=1,TRUNC(($A60*0.9-BG126)/$P$91*2000*PI()*0.8,0),IF(Data!$C$59=2,TRUNC(($A60*0.8-(BG126+0.1))/$P$91*2000*PI()*0.8,0),""))</f>
        <v>-89</v>
      </c>
      <c r="BI126" s="699"/>
      <c r="BJ126" s="704">
        <f t="shared" ca="1" si="44"/>
        <v>0.73512685714285386</v>
      </c>
      <c r="BK126" s="707">
        <f t="shared" ca="1" si="45"/>
        <v>8000</v>
      </c>
      <c r="BL126" s="707">
        <f t="shared" ca="1" si="46"/>
        <v>666.66666666666674</v>
      </c>
      <c r="BM126" s="699">
        <f t="shared" ca="1" si="47"/>
        <v>0.42000000000000004</v>
      </c>
      <c r="BN126" s="699">
        <f ca="1">IF(Data!$C$59=1,TRUNC(($A60*0.9-BM126)/$P$90*2000*PI()*0.8,0),IF(Data!$C$59=2,TRUNC(($A60*0.8-(BM126+0.1))/$P$90*2000*PI()*0.8,0),""))</f>
        <v>242</v>
      </c>
      <c r="BO126" s="699"/>
      <c r="BP126" s="699"/>
      <c r="BQ126" s="699"/>
      <c r="BR126" s="699"/>
      <c r="BS126" s="699"/>
      <c r="BT126" s="699"/>
      <c r="BU126" s="699"/>
      <c r="BV126" s="699"/>
      <c r="BW126" s="699"/>
      <c r="BX126" s="699"/>
      <c r="BY126" s="699"/>
      <c r="BZ126" s="699"/>
      <c r="CA126" s="699"/>
      <c r="CB126" s="699"/>
    </row>
    <row r="127" spans="1:80">
      <c r="A127" s="586">
        <f t="shared" ca="1" si="48"/>
        <v>0.73417777777777826</v>
      </c>
      <c r="B127" s="655">
        <f ca="1">0.82*$B$84</f>
        <v>6560</v>
      </c>
      <c r="C127" s="586">
        <f t="shared" ca="1" si="53"/>
        <v>-2.4444444444444465E-5</v>
      </c>
      <c r="D127" s="586">
        <f t="shared" ca="1" si="18"/>
        <v>0.73417777777777826</v>
      </c>
      <c r="M127" s="620">
        <v>300</v>
      </c>
      <c r="U127" s="707">
        <f t="shared" ca="1" si="21"/>
        <v>2186.6666666666665</v>
      </c>
      <c r="V127" s="707">
        <f t="shared" ca="1" si="22"/>
        <v>6560</v>
      </c>
      <c r="W127" s="704">
        <f t="shared" ca="1" si="23"/>
        <v>1.0871999999999999</v>
      </c>
      <c r="X127" s="704">
        <f t="shared" ca="1" si="24"/>
        <v>1.0871999999999999</v>
      </c>
      <c r="Y127" s="704" t="str">
        <f t="shared" ca="1" si="25"/>
        <v/>
      </c>
      <c r="Z127" s="704">
        <f ca="1">IF(Data!$E$83=1,Data!$L$117+Data!$F$59+X127/Data!$L$116/Data!$E$59/Data!$L$115,Data!$E$90+Data!$F$59+X127/Data!$G$90/Data!$E$59/Data!$D$90)</f>
        <v>1.208</v>
      </c>
      <c r="AA127" s="705">
        <f t="shared" ca="1" si="26"/>
        <v>0.73417777777777826</v>
      </c>
      <c r="AB127" s="699">
        <f ca="1">IF(Data!$C$59=1,TRUNC(($A127*0.9-W127)/$P$92*2000*PI()*0.8,0),IF(Data!$C$59=2,TRUNC(($A127*0.8-(W127+0.1))/$P$92*2000*PI()*0.8,0),""))</f>
        <v>-107</v>
      </c>
      <c r="AC127" s="699"/>
      <c r="AD127" s="706"/>
      <c r="AE127" s="707">
        <f t="shared" ca="1" si="27"/>
        <v>1093.3333333333333</v>
      </c>
      <c r="AF127" s="707">
        <f t="shared" ca="1" si="28"/>
        <v>6560</v>
      </c>
      <c r="AG127" s="704">
        <f t="shared" ca="1" si="29"/>
        <v>0.72480000000000011</v>
      </c>
      <c r="AH127" s="704">
        <f t="shared" ca="1" si="16"/>
        <v>0.72480000000000011</v>
      </c>
      <c r="AI127" s="705" t="str">
        <f t="shared" ca="1" si="30"/>
        <v/>
      </c>
      <c r="AJ127" s="704">
        <f ca="1">IF(Data!$E$83=1,Data!$L$117+Data!$F$59+AH127/Data!$L$116/Data!$E$59/Data!$L$115,Data!$E$90+Data!$F$59+AH127/Data!$G$90/Data!$E$59/Data!$D$90)</f>
        <v>0.80533333333333346</v>
      </c>
      <c r="AK127" s="704">
        <f t="shared" ca="1" si="31"/>
        <v>0.73417777777777826</v>
      </c>
      <c r="AL127" s="699">
        <f ca="1">IF(Data!$C$59=1,TRUNC(($A127*0.9-AG127)/$P$91*2000*PI()*0.8,0),IF(Data!$C$59=2,TRUNC(($A127*0.8-(AG127+0.1))/$P$91*2000*PI()*0.8,0),""))</f>
        <v>-32</v>
      </c>
      <c r="AM127" s="706"/>
      <c r="AN127" s="707">
        <f t="shared" ca="1" si="32"/>
        <v>546.66666666666663</v>
      </c>
      <c r="AO127" s="707">
        <f t="shared" ca="1" si="33"/>
        <v>6560</v>
      </c>
      <c r="AP127" s="704">
        <f t="shared" ca="1" si="34"/>
        <v>0.36240000000000006</v>
      </c>
      <c r="AQ127" s="704">
        <f t="shared" ca="1" si="17"/>
        <v>0.36240000000000006</v>
      </c>
      <c r="AR127" s="704">
        <f t="shared" ca="1" si="35"/>
        <v>0.40266666666666673</v>
      </c>
      <c r="AS127" s="704">
        <f ca="1">IF(Data!$E$83=1,Data!$L$117+Data!$F$59+AQ127/Data!$L$116/Data!$E$59/Data!$L$115,Data!$E$90+Data!$F$59+AQ127/Data!$G$90/Data!$E$59/Data!$D$90)</f>
        <v>0.40266666666666673</v>
      </c>
      <c r="AT127" s="704">
        <f t="shared" ca="1" si="36"/>
        <v>0.73417777777777826</v>
      </c>
      <c r="AU127" s="699">
        <f ca="1">IF(Data!$C$59=1,TRUNC(($A127*0.9-AP127)/$P$90*2000*PI()*0.8,0),IF(Data!$C$59=2,TRUNC(($A127*0.8-(AP127+0.1))/$P$90*2000*PI()*0.8,0),""))</f>
        <v>299</v>
      </c>
      <c r="AV127" s="699"/>
      <c r="AW127" s="699"/>
      <c r="AX127" s="704">
        <f t="shared" ca="1" si="37"/>
        <v>0.67127912087911767</v>
      </c>
      <c r="AY127" s="707">
        <f t="shared" ca="1" si="38"/>
        <v>8000</v>
      </c>
      <c r="AZ127" s="707">
        <f t="shared" ca="1" si="39"/>
        <v>2666.666666666667</v>
      </c>
      <c r="BA127" s="704">
        <f t="shared" ca="1" si="40"/>
        <v>1.26</v>
      </c>
      <c r="BB127" s="699">
        <f ca="1">IF(Data!$C$59=1,TRUNC(($A61*0.9-BA127)/$P$92*2000*PI()*0.8,0),IF(Data!$C$59=2,TRUNC(($A61*0.8-(BA127+0.1))/$P$92*2000*PI()*0.8,0),""))</f>
        <v>-164</v>
      </c>
      <c r="BC127" s="699"/>
      <c r="BD127" s="704">
        <f t="shared" ca="1" si="41"/>
        <v>0.67127912087911767</v>
      </c>
      <c r="BE127" s="707">
        <f t="shared" ca="1" si="42"/>
        <v>8000</v>
      </c>
      <c r="BF127" s="707">
        <f t="shared" ca="1" si="50"/>
        <v>1333.3333333333335</v>
      </c>
      <c r="BG127" s="699">
        <f t="shared" ca="1" si="43"/>
        <v>0.84000000000000008</v>
      </c>
      <c r="BH127" s="699">
        <f ca="1">IF(Data!$C$59=1,TRUNC(($A61*0.9-BG127)/$P$91*2000*PI()*0.8,0),IF(Data!$C$59=2,TRUNC(($A61*0.8-(BG127+0.1))/$P$91*2000*PI()*0.8,0),""))</f>
        <v>-118</v>
      </c>
      <c r="BI127" s="699"/>
      <c r="BJ127" s="704">
        <f t="shared" ca="1" si="44"/>
        <v>0.67127912087911767</v>
      </c>
      <c r="BK127" s="707">
        <f t="shared" ca="1" si="45"/>
        <v>8000</v>
      </c>
      <c r="BL127" s="707">
        <f t="shared" ca="1" si="46"/>
        <v>666.66666666666674</v>
      </c>
      <c r="BM127" s="699">
        <f t="shared" ca="1" si="47"/>
        <v>0.42000000000000004</v>
      </c>
      <c r="BN127" s="699">
        <f ca="1">IF(Data!$C$59=1,TRUNC(($A61*0.9-BM127)/$P$90*2000*PI()*0.8,0),IF(Data!$C$59=2,TRUNC(($A61*0.8-(BM127+0.1))/$P$90*2000*PI()*0.8,0),""))</f>
        <v>185</v>
      </c>
      <c r="BO127" s="699"/>
      <c r="BP127" s="699"/>
      <c r="BQ127" s="699"/>
      <c r="BR127" s="699"/>
      <c r="BS127" s="699"/>
      <c r="BT127" s="699"/>
      <c r="BU127" s="699"/>
      <c r="BV127" s="699"/>
      <c r="BW127" s="699"/>
      <c r="BX127" s="699"/>
      <c r="BY127" s="699"/>
      <c r="BZ127" s="699"/>
      <c r="CA127" s="699"/>
      <c r="CB127" s="699"/>
    </row>
    <row r="128" spans="1:80">
      <c r="A128" s="586">
        <f t="shared" ca="1" si="48"/>
        <v>0.73026666666666717</v>
      </c>
      <c r="B128" s="655">
        <f ca="1">0.84*$B$84</f>
        <v>6720</v>
      </c>
      <c r="C128" s="586">
        <f t="shared" ca="1" si="53"/>
        <v>-2.4444444444444465E-5</v>
      </c>
      <c r="D128" s="586">
        <f t="shared" ca="1" si="18"/>
        <v>0.73026666666666717</v>
      </c>
      <c r="M128" s="620">
        <v>200</v>
      </c>
      <c r="U128" s="707">
        <f t="shared" ca="1" si="21"/>
        <v>2240</v>
      </c>
      <c r="V128" s="707">
        <f t="shared" ca="1" si="22"/>
        <v>6720</v>
      </c>
      <c r="W128" s="704">
        <f t="shared" ca="1" si="23"/>
        <v>1.1064000000000001</v>
      </c>
      <c r="X128" s="704">
        <f t="shared" ca="1" si="24"/>
        <v>1.1064000000000001</v>
      </c>
      <c r="Y128" s="704" t="str">
        <f t="shared" ca="1" si="25"/>
        <v/>
      </c>
      <c r="Z128" s="704">
        <f ca="1">IF(Data!$E$83=1,Data!$L$117+Data!$F$59+X128/Data!$L$116/Data!$E$59/Data!$L$115,Data!$E$90+Data!$F$59+X128/Data!$G$90/Data!$E$59/Data!$D$90)</f>
        <v>1.2293333333333334</v>
      </c>
      <c r="AA128" s="705">
        <f t="shared" ca="1" si="26"/>
        <v>0.73026666666666717</v>
      </c>
      <c r="AB128" s="699">
        <f ca="1">IF(Data!$C$59=1,TRUNC(($A128*0.9-W128)/$P$92*2000*PI()*0.8,0),IF(Data!$C$59=2,TRUNC(($A128*0.8-(W128+0.1))/$P$92*2000*PI()*0.8,0),""))</f>
        <v>-112</v>
      </c>
      <c r="AC128" s="699"/>
      <c r="AD128" s="706"/>
      <c r="AE128" s="707">
        <f t="shared" ca="1" si="27"/>
        <v>1120</v>
      </c>
      <c r="AF128" s="707">
        <f t="shared" ca="1" si="28"/>
        <v>6720</v>
      </c>
      <c r="AG128" s="704">
        <f t="shared" ca="1" si="29"/>
        <v>0.73760000000000003</v>
      </c>
      <c r="AH128" s="704">
        <f t="shared" ca="1" si="16"/>
        <v>0.73760000000000003</v>
      </c>
      <c r="AI128" s="705" t="str">
        <f t="shared" ca="1" si="30"/>
        <v/>
      </c>
      <c r="AJ128" s="704">
        <f ca="1">IF(Data!$E$83=1,Data!$L$117+Data!$F$59+AH128/Data!$L$116/Data!$E$59/Data!$L$115,Data!$E$90+Data!$F$59+AH128/Data!$G$90/Data!$E$59/Data!$D$90)</f>
        <v>0.81955555555555559</v>
      </c>
      <c r="AK128" s="704">
        <f t="shared" ca="1" si="31"/>
        <v>0.73026666666666717</v>
      </c>
      <c r="AL128" s="699">
        <f ca="1">IF(Data!$C$59=1,TRUNC(($A128*0.9-AG128)/$P$91*2000*PI()*0.8,0),IF(Data!$C$59=2,TRUNC(($A128*0.8-(AG128+0.1))/$P$91*2000*PI()*0.8,0),""))</f>
        <v>-40</v>
      </c>
      <c r="AM128" s="706"/>
      <c r="AN128" s="707">
        <f t="shared" ca="1" si="32"/>
        <v>560</v>
      </c>
      <c r="AO128" s="707">
        <f t="shared" ca="1" si="33"/>
        <v>6720</v>
      </c>
      <c r="AP128" s="704">
        <f t="shared" ca="1" si="34"/>
        <v>0.36880000000000002</v>
      </c>
      <c r="AQ128" s="704">
        <f t="shared" ca="1" si="17"/>
        <v>0.36880000000000002</v>
      </c>
      <c r="AR128" s="704">
        <f t="shared" ca="1" si="35"/>
        <v>0.4097777777777778</v>
      </c>
      <c r="AS128" s="704">
        <f ca="1">IF(Data!$E$83=1,Data!$L$117+Data!$F$59+AQ128/Data!$L$116/Data!$E$59/Data!$L$115,Data!$E$90+Data!$F$59+AQ128/Data!$G$90/Data!$E$59/Data!$D$90)</f>
        <v>0.4097777777777778</v>
      </c>
      <c r="AT128" s="704">
        <f t="shared" ca="1" si="36"/>
        <v>0.73026666666666717</v>
      </c>
      <c r="AU128" s="699">
        <f ca="1">IF(Data!$C$59=1,TRUNC(($A128*0.9-AP128)/$P$90*2000*PI()*0.8,0),IF(Data!$C$59=2,TRUNC(($A128*0.8-(AP128+0.1))/$P$90*2000*PI()*0.8,0),""))</f>
        <v>289</v>
      </c>
      <c r="AV128" s="699"/>
      <c r="AW128" s="699"/>
      <c r="AX128" s="704">
        <f t="shared" ca="1" si="37"/>
        <v>0.60683498901098565</v>
      </c>
      <c r="AY128" s="707">
        <f t="shared" ca="1" si="38"/>
        <v>8000</v>
      </c>
      <c r="AZ128" s="707">
        <f t="shared" ca="1" si="39"/>
        <v>2666.666666666667</v>
      </c>
      <c r="BA128" s="704">
        <f t="shared" ca="1" si="40"/>
        <v>1.26</v>
      </c>
      <c r="BB128" s="699">
        <f ca="1">IF(Data!$C$59=1,TRUNC(($A62*0.9-BA128)/$P$92*2000*PI()*0.8,0),IF(Data!$C$59=2,TRUNC(($A62*0.8-(BA128+0.1))/$P$92*2000*PI()*0.8,0),""))</f>
        <v>-179</v>
      </c>
      <c r="BC128" s="699"/>
      <c r="BD128" s="704">
        <f t="shared" ca="1" si="41"/>
        <v>0.60683498901098565</v>
      </c>
      <c r="BE128" s="707">
        <f t="shared" ca="1" si="42"/>
        <v>8000</v>
      </c>
      <c r="BF128" s="707">
        <f t="shared" ca="1" si="50"/>
        <v>1333.3333333333335</v>
      </c>
      <c r="BG128" s="699">
        <f t="shared" ca="1" si="43"/>
        <v>0.84000000000000008</v>
      </c>
      <c r="BH128" s="699">
        <f ca="1">IF(Data!$C$59=1,TRUNC(($A62*0.9-BG128)/$P$91*2000*PI()*0.8,0),IF(Data!$C$59=2,TRUNC(($A62*0.8-(BG128+0.1))/$P$91*2000*PI()*0.8,0),""))</f>
        <v>-147</v>
      </c>
      <c r="BI128" s="699"/>
      <c r="BJ128" s="704">
        <f t="shared" ca="1" si="44"/>
        <v>0.60683498901098565</v>
      </c>
      <c r="BK128" s="707">
        <f t="shared" ca="1" si="45"/>
        <v>8000</v>
      </c>
      <c r="BL128" s="707">
        <f t="shared" ca="1" si="46"/>
        <v>666.66666666666674</v>
      </c>
      <c r="BM128" s="699">
        <f t="shared" ca="1" si="47"/>
        <v>0.42000000000000004</v>
      </c>
      <c r="BN128" s="699">
        <f ca="1">IF(Data!$C$59=1,TRUNC(($A62*0.9-BM128)/$P$90*2000*PI()*0.8,0),IF(Data!$C$59=2,TRUNC(($A62*0.8-(BM128+0.1))/$P$90*2000*PI()*0.8,0),""))</f>
        <v>126</v>
      </c>
      <c r="BO128" s="699"/>
      <c r="BP128" s="699"/>
      <c r="BQ128" s="699"/>
      <c r="BR128" s="699"/>
      <c r="BS128" s="699"/>
      <c r="BT128" s="699"/>
      <c r="BU128" s="699"/>
      <c r="BV128" s="699"/>
      <c r="BW128" s="699"/>
      <c r="BX128" s="699"/>
      <c r="BY128" s="699"/>
      <c r="BZ128" s="699"/>
      <c r="CA128" s="699"/>
      <c r="CB128" s="699"/>
    </row>
    <row r="129" spans="1:80">
      <c r="A129" s="586">
        <f t="shared" ca="1" si="48"/>
        <v>0.72635555555555609</v>
      </c>
      <c r="B129" s="655">
        <f ca="1">0.86*$B$84</f>
        <v>6880</v>
      </c>
      <c r="C129" s="586">
        <f t="shared" ca="1" si="53"/>
        <v>-2.4444444444444465E-5</v>
      </c>
      <c r="D129" s="586">
        <f t="shared" ca="1" si="18"/>
        <v>0.72635555555555609</v>
      </c>
      <c r="M129" s="620">
        <v>100</v>
      </c>
      <c r="U129" s="707">
        <f t="shared" ca="1" si="21"/>
        <v>2293.3333333333335</v>
      </c>
      <c r="V129" s="707">
        <f t="shared" ca="1" si="22"/>
        <v>6880</v>
      </c>
      <c r="W129" s="704">
        <f t="shared" ca="1" si="23"/>
        <v>1.1255999999999999</v>
      </c>
      <c r="X129" s="704">
        <f t="shared" ca="1" si="24"/>
        <v>1.1255999999999999</v>
      </c>
      <c r="Y129" s="704" t="str">
        <f t="shared" ca="1" si="25"/>
        <v/>
      </c>
      <c r="Z129" s="704">
        <f ca="1">IF(Data!$E$83=1,Data!$L$117+Data!$F$59+X129/Data!$L$116/Data!$E$59/Data!$L$115,Data!$E$90+Data!$F$59+X129/Data!$G$90/Data!$E$59/Data!$D$90)</f>
        <v>1.2506666666666666</v>
      </c>
      <c r="AA129" s="705">
        <f ca="1">A129</f>
        <v>0.72635555555555609</v>
      </c>
      <c r="AB129" s="699">
        <f ca="1">IF(Data!$C$59=1,TRUNC(($A129*0.9-W129)/$P$92*2000*PI()*0.8,0),IF(Data!$C$59=2,TRUNC(($A129*0.8-(W129+0.1))/$P$92*2000*PI()*0.8,0),""))</f>
        <v>-118</v>
      </c>
      <c r="AC129" s="699"/>
      <c r="AD129" s="706"/>
      <c r="AE129" s="707">
        <f t="shared" ca="1" si="27"/>
        <v>1146.6666666666667</v>
      </c>
      <c r="AF129" s="707">
        <f t="shared" ca="1" si="28"/>
        <v>6880</v>
      </c>
      <c r="AG129" s="704">
        <f t="shared" ca="1" si="29"/>
        <v>0.75039999999999996</v>
      </c>
      <c r="AH129" s="704">
        <f t="shared" ca="1" si="16"/>
        <v>0.75039999999999996</v>
      </c>
      <c r="AI129" s="705" t="str">
        <f t="shared" ca="1" si="30"/>
        <v/>
      </c>
      <c r="AJ129" s="704">
        <f ca="1">IF(Data!$E$83=1,Data!$L$117+Data!$F$59+AH129/Data!$L$116/Data!$E$59/Data!$L$115,Data!$E$90+Data!$F$59+AH129/Data!$G$90/Data!$E$59/Data!$D$90)</f>
        <v>0.83377777777777773</v>
      </c>
      <c r="AK129" s="704">
        <f t="shared" ca="1" si="31"/>
        <v>0.72635555555555609</v>
      </c>
      <c r="AL129" s="699">
        <f ca="1">IF(Data!$C$59=1,TRUNC(($A129*0.9-AG129)/$P$91*2000*PI()*0.8,0),IF(Data!$C$59=2,TRUNC(($A129*0.8-(AG129+0.1))/$P$91*2000*PI()*0.8,0),""))</f>
        <v>-48</v>
      </c>
      <c r="AM129" s="706"/>
      <c r="AN129" s="707">
        <f t="shared" ca="1" si="32"/>
        <v>573.33333333333337</v>
      </c>
      <c r="AO129" s="707">
        <f t="shared" ca="1" si="33"/>
        <v>6880</v>
      </c>
      <c r="AP129" s="704">
        <f t="shared" ca="1" si="34"/>
        <v>0.37519999999999998</v>
      </c>
      <c r="AQ129" s="704">
        <f t="shared" ca="1" si="17"/>
        <v>0.37519999999999998</v>
      </c>
      <c r="AR129" s="704">
        <f t="shared" ca="1" si="35"/>
        <v>0.41688888888888886</v>
      </c>
      <c r="AS129" s="704">
        <f ca="1">IF(Data!$E$83=1,Data!$L$117+Data!$F$59+AQ129/Data!$L$116/Data!$E$59/Data!$L$115,Data!$E$90+Data!$F$59+AQ129/Data!$G$90/Data!$E$59/Data!$D$90)</f>
        <v>0.41688888888888886</v>
      </c>
      <c r="AT129" s="704">
        <f t="shared" ca="1" si="36"/>
        <v>0.72635555555555609</v>
      </c>
      <c r="AU129" s="699">
        <f ca="1">IF(Data!$C$59=1,TRUNC(($A129*0.9-AP129)/$P$90*2000*PI()*0.8,0),IF(Data!$C$59=2,TRUNC(($A129*0.8-(AP129+0.1))/$P$90*2000*PI()*0.8,0),""))</f>
        <v>279</v>
      </c>
      <c r="AV129" s="699"/>
      <c r="AW129" s="699"/>
      <c r="AX129" s="704">
        <f t="shared" ca="1" si="37"/>
        <v>0.54179446153845823</v>
      </c>
      <c r="AY129" s="707">
        <f t="shared" ca="1" si="38"/>
        <v>8000</v>
      </c>
      <c r="AZ129" s="707">
        <f t="shared" ca="1" si="39"/>
        <v>2666.666666666667</v>
      </c>
      <c r="BA129" s="704">
        <f t="shared" ca="1" si="40"/>
        <v>1.26</v>
      </c>
      <c r="BB129" s="699">
        <f ca="1">IF(Data!$C$59=1,TRUNC(($A63*0.9-BA129)/$P$92*2000*PI()*0.8,0),IF(Data!$C$59=2,TRUNC(($A63*0.8-(BA129+0.1))/$P$92*2000*PI()*0.8,0),""))</f>
        <v>-194</v>
      </c>
      <c r="BC129" s="699"/>
      <c r="BD129" s="704">
        <f t="shared" ca="1" si="41"/>
        <v>0.54179446153845823</v>
      </c>
      <c r="BE129" s="707">
        <f t="shared" ca="1" si="42"/>
        <v>8000</v>
      </c>
      <c r="BF129" s="707">
        <f t="shared" ca="1" si="50"/>
        <v>1333.3333333333335</v>
      </c>
      <c r="BG129" s="699">
        <f t="shared" ca="1" si="43"/>
        <v>0.84000000000000008</v>
      </c>
      <c r="BH129" s="699">
        <f ca="1">IF(Data!$C$59=1,TRUNC(($A63*0.9-BG129)/$P$91*2000*PI()*0.8,0),IF(Data!$C$59=2,TRUNC(($A63*0.8-(BG129+0.1))/$P$91*2000*PI()*0.8,0),""))</f>
        <v>-177</v>
      </c>
      <c r="BI129" s="699"/>
      <c r="BJ129" s="704">
        <f t="shared" ca="1" si="44"/>
        <v>0.54179446153845823</v>
      </c>
      <c r="BK129" s="707">
        <f t="shared" ca="1" si="45"/>
        <v>8000</v>
      </c>
      <c r="BL129" s="707">
        <f t="shared" ca="1" si="46"/>
        <v>666.66666666666674</v>
      </c>
      <c r="BM129" s="699">
        <f t="shared" ca="1" si="47"/>
        <v>0.42000000000000004</v>
      </c>
      <c r="BN129" s="699">
        <f ca="1">IF(Data!$C$59=1,TRUNC(($A63*0.9-BM129)/$P$90*2000*PI()*0.8,0),IF(Data!$C$59=2,TRUNC(($A63*0.8-(BM129+0.1))/$P$90*2000*PI()*0.8,0),""))</f>
        <v>67</v>
      </c>
      <c r="BO129" s="699"/>
      <c r="BP129" s="699"/>
      <c r="BQ129" s="699"/>
      <c r="BR129" s="699"/>
      <c r="BS129" s="699"/>
      <c r="BT129" s="699"/>
      <c r="BU129" s="699"/>
      <c r="BV129" s="699"/>
      <c r="BW129" s="699"/>
      <c r="BX129" s="699"/>
      <c r="BY129" s="699"/>
      <c r="BZ129" s="699"/>
      <c r="CA129" s="699"/>
      <c r="CB129" s="699"/>
    </row>
    <row r="130" spans="1:80">
      <c r="A130" s="586">
        <f t="shared" ca="1" si="48"/>
        <v>0.722444444444445</v>
      </c>
      <c r="B130" s="655">
        <f ca="1">0.88*$B$84</f>
        <v>7040</v>
      </c>
      <c r="C130" s="586">
        <f t="shared" ca="1" si="53"/>
        <v>-2.4444444444444465E-5</v>
      </c>
      <c r="D130" s="586">
        <f t="shared" ca="1" si="18"/>
        <v>0.722444444444445</v>
      </c>
      <c r="M130" s="620">
        <v>0</v>
      </c>
      <c r="U130" s="707">
        <f t="shared" ca="1" si="21"/>
        <v>2346.6666666666665</v>
      </c>
      <c r="V130" s="707">
        <f t="shared" ca="1" si="22"/>
        <v>7040</v>
      </c>
      <c r="W130" s="704">
        <f t="shared" ca="1" si="23"/>
        <v>1.1447999999999998</v>
      </c>
      <c r="X130" s="704">
        <f t="shared" ca="1" si="24"/>
        <v>1.1447999999999998</v>
      </c>
      <c r="Y130" s="704" t="str">
        <f t="shared" ca="1" si="25"/>
        <v/>
      </c>
      <c r="Z130" s="704">
        <f ca="1">IF(Data!$E$83=1,Data!$L$117+Data!$F$59+X130/Data!$L$116/Data!$E$59/Data!$L$115,Data!$E$90+Data!$F$59+X130/Data!$G$90/Data!$E$59/Data!$D$90)</f>
        <v>1.2719999999999998</v>
      </c>
      <c r="AA130" s="705">
        <f t="shared" ca="1" si="26"/>
        <v>0.722444444444445</v>
      </c>
      <c r="AB130" s="699">
        <f ca="1">IF(Data!$C$59=1,TRUNC(($A130*0.9-W130)/$P$92*2000*PI()*0.8,0),IF(Data!$C$59=2,TRUNC(($A130*0.8-(W130+0.1))/$P$92*2000*PI()*0.8,0),""))</f>
        <v>-124</v>
      </c>
      <c r="AC130" s="699"/>
      <c r="AD130" s="706"/>
      <c r="AE130" s="707">
        <f t="shared" ca="1" si="27"/>
        <v>1173.3333333333333</v>
      </c>
      <c r="AF130" s="707">
        <f t="shared" ca="1" si="28"/>
        <v>7040</v>
      </c>
      <c r="AG130" s="704">
        <f t="shared" ca="1" si="29"/>
        <v>0.7632000000000001</v>
      </c>
      <c r="AH130" s="704">
        <f t="shared" ca="1" si="16"/>
        <v>0.7632000000000001</v>
      </c>
      <c r="AI130" s="705" t="str">
        <f t="shared" ca="1" si="30"/>
        <v/>
      </c>
      <c r="AJ130" s="704">
        <f ca="1">IF(Data!$E$83=1,Data!$L$117+Data!$F$59+AH130/Data!$L$116/Data!$E$59/Data!$L$115,Data!$E$90+Data!$F$59+AH130/Data!$G$90/Data!$E$59/Data!$D$90)</f>
        <v>0.84800000000000009</v>
      </c>
      <c r="AK130" s="704">
        <f t="shared" ca="1" si="31"/>
        <v>0.722444444444445</v>
      </c>
      <c r="AL130" s="699">
        <f ca="1">IF(Data!$C$59=1,TRUNC(($A130*0.9-AG130)/$P$91*2000*PI()*0.8,0),IF(Data!$C$59=2,TRUNC(($A130*0.8-(AG130+0.1))/$P$91*2000*PI()*0.8,0),""))</f>
        <v>-56</v>
      </c>
      <c r="AM130" s="706"/>
      <c r="AN130" s="707">
        <f t="shared" ca="1" si="32"/>
        <v>586.66666666666663</v>
      </c>
      <c r="AO130" s="707">
        <f t="shared" ca="1" si="33"/>
        <v>7040</v>
      </c>
      <c r="AP130" s="704">
        <f t="shared" ca="1" si="34"/>
        <v>0.38160000000000005</v>
      </c>
      <c r="AQ130" s="704">
        <f t="shared" ca="1" si="17"/>
        <v>0.38160000000000005</v>
      </c>
      <c r="AR130" s="704">
        <f t="shared" ca="1" si="35"/>
        <v>0.42400000000000004</v>
      </c>
      <c r="AS130" s="704">
        <f ca="1">IF(Data!$E$83=1,Data!$L$117+Data!$F$59+AQ130/Data!$L$116/Data!$E$59/Data!$L$115,Data!$E$90+Data!$F$59+AQ130/Data!$G$90/Data!$E$59/Data!$D$90)</f>
        <v>0.42400000000000004</v>
      </c>
      <c r="AT130" s="704">
        <f t="shared" ca="1" si="36"/>
        <v>0.722444444444445</v>
      </c>
      <c r="AU130" s="699">
        <f ca="1">IF(Data!$C$59=1,TRUNC(($A130*0.9-AP130)/$P$90*2000*PI()*0.8,0),IF(Data!$C$59=2,TRUNC(($A130*0.8-(AP130+0.1))/$P$90*2000*PI()*0.8,0),""))</f>
        <v>270</v>
      </c>
      <c r="AV130" s="699"/>
      <c r="AW130" s="699"/>
      <c r="AX130" s="704">
        <f t="shared" ca="1" si="37"/>
        <v>0.47615753846153508</v>
      </c>
      <c r="AY130" s="707">
        <f t="shared" ca="1" si="38"/>
        <v>8000</v>
      </c>
      <c r="AZ130" s="707">
        <f t="shared" ca="1" si="39"/>
        <v>2666.666666666667</v>
      </c>
      <c r="BA130" s="704">
        <f t="shared" ca="1" si="40"/>
        <v>1.26</v>
      </c>
      <c r="BB130" s="699">
        <f ca="1">IF(Data!$C$59=1,TRUNC(($A64*0.9-BA130)/$P$92*2000*PI()*0.8,0),IF(Data!$C$59=2,TRUNC(($A64*0.8-(BA130+0.1))/$P$92*2000*PI()*0.8,0),""))</f>
        <v>-208</v>
      </c>
      <c r="BC130" s="699"/>
      <c r="BD130" s="704">
        <f t="shared" ca="1" si="41"/>
        <v>0.47615753846153508</v>
      </c>
      <c r="BE130" s="707">
        <f t="shared" ca="1" si="42"/>
        <v>8000</v>
      </c>
      <c r="BF130" s="707">
        <f t="shared" ca="1" si="50"/>
        <v>1333.3333333333335</v>
      </c>
      <c r="BG130" s="699">
        <f t="shared" ca="1" si="43"/>
        <v>0.84000000000000008</v>
      </c>
      <c r="BH130" s="699">
        <f ca="1">IF(Data!$C$59=1,TRUNC(($A64*0.9-BG130)/$P$91*2000*PI()*0.8,0),IF(Data!$C$59=2,TRUNC(($A64*0.8-(BG130+0.1))/$P$91*2000*PI()*0.8,0),""))</f>
        <v>-206</v>
      </c>
      <c r="BI130" s="699"/>
      <c r="BJ130" s="704">
        <f t="shared" ca="1" si="44"/>
        <v>0.47615753846153508</v>
      </c>
      <c r="BK130" s="707">
        <f t="shared" ca="1" si="45"/>
        <v>8000</v>
      </c>
      <c r="BL130" s="707">
        <f t="shared" ca="1" si="46"/>
        <v>666.66666666666674</v>
      </c>
      <c r="BM130" s="699">
        <f t="shared" ca="1" si="47"/>
        <v>0.42000000000000004</v>
      </c>
      <c r="BN130" s="699">
        <f ca="1">IF(Data!$C$59=1,TRUNC(($A64*0.9-BM130)/$P$90*2000*PI()*0.8,0),IF(Data!$C$59=2,TRUNC(($A64*0.8-(BM130+0.1))/$P$90*2000*PI()*0.8,0),""))</f>
        <v>8</v>
      </c>
      <c r="BO130" s="699"/>
      <c r="BP130" s="699"/>
      <c r="BQ130" s="699"/>
      <c r="BR130" s="699"/>
      <c r="BS130" s="699"/>
      <c r="BT130" s="699"/>
      <c r="BU130" s="699"/>
      <c r="BV130" s="699"/>
      <c r="BW130" s="699"/>
      <c r="BX130" s="699"/>
      <c r="BY130" s="699"/>
      <c r="BZ130" s="699"/>
      <c r="CA130" s="699"/>
      <c r="CB130" s="699"/>
    </row>
    <row r="131" spans="1:80">
      <c r="A131" s="586">
        <f t="shared" ca="1" si="48"/>
        <v>0.71853333333333391</v>
      </c>
      <c r="B131" s="655">
        <f ca="1">0.9*$B$84</f>
        <v>7200</v>
      </c>
      <c r="C131" s="586">
        <f t="shared" ca="1" si="53"/>
        <v>-2.4444444444444465E-5</v>
      </c>
      <c r="D131" s="586">
        <f t="shared" ca="1" si="18"/>
        <v>0.71853333333333391</v>
      </c>
      <c r="U131" s="707">
        <f t="shared" ca="1" si="21"/>
        <v>2400</v>
      </c>
      <c r="V131" s="707">
        <f t="shared" ca="1" si="22"/>
        <v>7200</v>
      </c>
      <c r="W131" s="704">
        <f t="shared" ca="1" si="23"/>
        <v>1.1639999999999999</v>
      </c>
      <c r="X131" s="704">
        <f t="shared" ca="1" si="24"/>
        <v>1.1639999999999999</v>
      </c>
      <c r="Y131" s="704" t="str">
        <f t="shared" ca="1" si="25"/>
        <v/>
      </c>
      <c r="Z131" s="704">
        <f ca="1">IF(Data!$E$83=1,Data!$L$117+Data!$F$59+X131/Data!$L$116/Data!$E$59/Data!$L$115,Data!$E$90+Data!$F$59+X131/Data!$G$90/Data!$E$59/Data!$D$90)</f>
        <v>1.2933333333333332</v>
      </c>
      <c r="AA131" s="705">
        <f t="shared" ca="1" si="26"/>
        <v>0.71853333333333391</v>
      </c>
      <c r="AB131" s="699">
        <f ca="1">IF(Data!$C$59=1,TRUNC(($A131*0.9-W131)/$P$92*2000*PI()*0.8,0),IF(Data!$C$59=2,TRUNC(($A131*0.8-(W131+0.1))/$P$92*2000*PI()*0.8,0),""))</f>
        <v>-130</v>
      </c>
      <c r="AC131" s="699"/>
      <c r="AD131" s="706"/>
      <c r="AE131" s="707">
        <f t="shared" ca="1" si="27"/>
        <v>1200</v>
      </c>
      <c r="AF131" s="707">
        <f t="shared" ca="1" si="28"/>
        <v>7200</v>
      </c>
      <c r="AG131" s="704">
        <f t="shared" ca="1" si="29"/>
        <v>0.77600000000000002</v>
      </c>
      <c r="AH131" s="704">
        <f t="shared" ca="1" si="16"/>
        <v>0.77600000000000002</v>
      </c>
      <c r="AI131" s="705" t="str">
        <f t="shared" ca="1" si="30"/>
        <v/>
      </c>
      <c r="AJ131" s="704">
        <f ca="1">IF(Data!$E$83=1,Data!$L$117+Data!$F$59+AH131/Data!$L$116/Data!$E$59/Data!$L$115,Data!$E$90+Data!$F$59+AH131/Data!$G$90/Data!$E$59/Data!$D$90)</f>
        <v>0.86222222222222222</v>
      </c>
      <c r="AK131" s="704">
        <f t="shared" ca="1" si="31"/>
        <v>0.71853333333333391</v>
      </c>
      <c r="AL131" s="699">
        <f ca="1">IF(Data!$C$59=1,TRUNC(($A131*0.9-AG131)/$P$91*2000*PI()*0.8,0),IF(Data!$C$59=2,TRUNC(($A131*0.8-(AG131+0.1))/$P$91*2000*PI()*0.8,0),""))</f>
        <v>-65</v>
      </c>
      <c r="AM131" s="706"/>
      <c r="AN131" s="707">
        <f t="shared" ca="1" si="32"/>
        <v>600</v>
      </c>
      <c r="AO131" s="707">
        <f t="shared" ca="1" si="33"/>
        <v>7200</v>
      </c>
      <c r="AP131" s="704">
        <f t="shared" ca="1" si="34"/>
        <v>0.38800000000000001</v>
      </c>
      <c r="AQ131" s="704">
        <f t="shared" ca="1" si="17"/>
        <v>0.38800000000000001</v>
      </c>
      <c r="AR131" s="704">
        <f t="shared" ca="1" si="35"/>
        <v>0.43111111111111111</v>
      </c>
      <c r="AS131" s="704">
        <f ca="1">IF(Data!$E$83=1,Data!$L$117+Data!$F$59+AQ131/Data!$L$116/Data!$E$59/Data!$L$115,Data!$E$90+Data!$F$59+AQ131/Data!$G$90/Data!$E$59/Data!$D$90)</f>
        <v>0.43111111111111111</v>
      </c>
      <c r="AT131" s="704">
        <f t="shared" ca="1" si="36"/>
        <v>0.71853333333333391</v>
      </c>
      <c r="AU131" s="699">
        <f ca="1">IF(Data!$C$59=1,TRUNC(($A131*0.9-AP131)/$P$90*2000*PI()*0.8,0),IF(Data!$C$59=2,TRUNC(($A131*0.8-(AP131+0.1))/$P$90*2000*PI()*0.8,0),""))</f>
        <v>260</v>
      </c>
      <c r="AV131" s="699"/>
      <c r="AW131" s="699"/>
      <c r="AX131" s="704">
        <f t="shared" ca="1" si="37"/>
        <v>0.40992421978021643</v>
      </c>
      <c r="AY131" s="707">
        <f t="shared" ca="1" si="38"/>
        <v>8000</v>
      </c>
      <c r="AZ131" s="707">
        <f t="shared" ca="1" si="39"/>
        <v>2666.666666666667</v>
      </c>
      <c r="BA131" s="704">
        <f t="shared" ca="1" si="40"/>
        <v>1.26</v>
      </c>
      <c r="BB131" s="699">
        <f ca="1">IF(Data!$C$59=1,TRUNC(($A65*0.9-BA131)/$P$92*2000*PI()*0.8,0),IF(Data!$C$59=2,TRUNC(($A65*0.8-(BA131+0.1))/$P$92*2000*PI()*0.8,0),""))</f>
        <v>-223</v>
      </c>
      <c r="BC131" s="699"/>
      <c r="BD131" s="704">
        <f t="shared" ca="1" si="41"/>
        <v>0.40992421978021643</v>
      </c>
      <c r="BE131" s="707">
        <f t="shared" ca="1" si="42"/>
        <v>8000</v>
      </c>
      <c r="BF131" s="707">
        <f t="shared" ca="1" si="50"/>
        <v>1333.3333333333335</v>
      </c>
      <c r="BG131" s="699">
        <f t="shared" ca="1" si="43"/>
        <v>0.84000000000000008</v>
      </c>
      <c r="BH131" s="699">
        <f ca="1">IF(Data!$C$59=1,TRUNC(($A65*0.9-BG131)/$P$91*2000*PI()*0.8,0),IF(Data!$C$59=2,TRUNC(($A65*0.8-(BG131+0.1))/$P$91*2000*PI()*0.8,0),""))</f>
        <v>-236</v>
      </c>
      <c r="BI131" s="699"/>
      <c r="BJ131" s="704">
        <f t="shared" ca="1" si="44"/>
        <v>0.40992421978021643</v>
      </c>
      <c r="BK131" s="707">
        <f t="shared" ca="1" si="45"/>
        <v>8000</v>
      </c>
      <c r="BL131" s="707">
        <f t="shared" ca="1" si="46"/>
        <v>666.66666666666674</v>
      </c>
      <c r="BM131" s="699">
        <f t="shared" ca="1" si="47"/>
        <v>0.42000000000000004</v>
      </c>
      <c r="BN131" s="699">
        <f ca="1">IF(Data!$C$59=1,TRUNC(($A65*0.9-BM131)/$P$90*2000*PI()*0.8,0),IF(Data!$C$59=2,TRUNC(($A65*0.8-(BM131+0.1))/$P$90*2000*PI()*0.8,0),""))</f>
        <v>-51</v>
      </c>
      <c r="BO131" s="699"/>
      <c r="BP131" s="699"/>
      <c r="BQ131" s="699"/>
      <c r="BR131" s="699"/>
      <c r="BS131" s="699"/>
      <c r="BT131" s="699"/>
      <c r="BU131" s="699"/>
      <c r="BV131" s="699"/>
      <c r="BW131" s="699"/>
      <c r="BX131" s="699"/>
      <c r="BY131" s="699"/>
      <c r="BZ131" s="699"/>
      <c r="CA131" s="699"/>
      <c r="CB131" s="699"/>
    </row>
    <row r="132" spans="1:80">
      <c r="A132" s="586">
        <f t="shared" ca="1" si="48"/>
        <v>0.71462222222222282</v>
      </c>
      <c r="B132" s="655">
        <f ca="1">0.92*$B$84</f>
        <v>7360</v>
      </c>
      <c r="C132" s="586">
        <f t="shared" ca="1" si="53"/>
        <v>-2.4444444444444465E-5</v>
      </c>
      <c r="D132" s="586">
        <f t="shared" ca="1" si="18"/>
        <v>0.71462222222222282</v>
      </c>
      <c r="U132" s="707">
        <f t="shared" ca="1" si="21"/>
        <v>2453.3333333333335</v>
      </c>
      <c r="V132" s="707">
        <f t="shared" ca="1" si="22"/>
        <v>7360</v>
      </c>
      <c r="W132" s="704">
        <f t="shared" ca="1" si="23"/>
        <v>1.1832</v>
      </c>
      <c r="X132" s="704">
        <f t="shared" ca="1" si="24"/>
        <v>1.1832</v>
      </c>
      <c r="Y132" s="704" t="str">
        <f t="shared" ca="1" si="25"/>
        <v/>
      </c>
      <c r="Z132" s="704">
        <f ca="1">IF(Data!$E$83=1,Data!$L$117+Data!$F$59+X132/Data!$L$116/Data!$E$59/Data!$L$115,Data!$E$90+Data!$F$59+X132/Data!$G$90/Data!$E$59/Data!$D$90)</f>
        <v>1.3146666666666667</v>
      </c>
      <c r="AA132" s="705">
        <f t="shared" ca="1" si="26"/>
        <v>0.71462222222222282</v>
      </c>
      <c r="AB132" s="699">
        <f ca="1">IF(Data!$C$59=1,TRUNC(($A132*0.9-W132)/$P$92*2000*PI()*0.8,0),IF(Data!$C$59=2,TRUNC(($A132*0.8-(W132+0.1))/$P$92*2000*PI()*0.8,0),""))</f>
        <v>-135</v>
      </c>
      <c r="AC132" s="699"/>
      <c r="AD132" s="706"/>
      <c r="AE132" s="707">
        <f t="shared" ca="1" si="27"/>
        <v>1226.6666666666667</v>
      </c>
      <c r="AF132" s="707">
        <f t="shared" ca="1" si="28"/>
        <v>7360</v>
      </c>
      <c r="AG132" s="704">
        <f t="shared" ca="1" si="29"/>
        <v>0.78879999999999995</v>
      </c>
      <c r="AH132" s="704">
        <f t="shared" ca="1" si="16"/>
        <v>0.78879999999999995</v>
      </c>
      <c r="AI132" s="705" t="str">
        <f t="shared" ca="1" si="30"/>
        <v/>
      </c>
      <c r="AJ132" s="704">
        <f ca="1">IF(Data!$E$83=1,Data!$L$117+Data!$F$59+AH132/Data!$L$116/Data!$E$59/Data!$L$115,Data!$E$90+Data!$F$59+AH132/Data!$G$90/Data!$E$59/Data!$D$90)</f>
        <v>0.87644444444444436</v>
      </c>
      <c r="AK132" s="704">
        <f t="shared" ca="1" si="31"/>
        <v>0.71462222222222282</v>
      </c>
      <c r="AL132" s="699">
        <f ca="1">IF(Data!$C$59=1,TRUNC(($A132*0.9-AG132)/$P$91*2000*PI()*0.8,0),IF(Data!$C$59=2,TRUNC(($A132*0.8-(AG132+0.1))/$P$91*2000*PI()*0.8,0),""))</f>
        <v>-73</v>
      </c>
      <c r="AM132" s="706"/>
      <c r="AN132" s="707">
        <f t="shared" ca="1" si="32"/>
        <v>613.33333333333337</v>
      </c>
      <c r="AO132" s="707">
        <f t="shared" ca="1" si="33"/>
        <v>7360</v>
      </c>
      <c r="AP132" s="704">
        <f t="shared" ca="1" si="34"/>
        <v>0.39439999999999997</v>
      </c>
      <c r="AQ132" s="704">
        <f t="shared" ca="1" si="17"/>
        <v>0.39439999999999997</v>
      </c>
      <c r="AR132" s="704">
        <f t="shared" ca="1" si="35"/>
        <v>0.43822222222222218</v>
      </c>
      <c r="AS132" s="704">
        <f ca="1">IF(Data!$E$83=1,Data!$L$117+Data!$F$59+AQ132/Data!$L$116/Data!$E$59/Data!$L$115,Data!$E$90+Data!$F$59+AQ132/Data!$G$90/Data!$E$59/Data!$D$90)</f>
        <v>0.43822222222222218</v>
      </c>
      <c r="AT132" s="704">
        <f t="shared" ca="1" si="36"/>
        <v>0.71462222222222282</v>
      </c>
      <c r="AU132" s="699">
        <f ca="1">IF(Data!$C$59=1,TRUNC(($A132*0.9-AP132)/$P$90*2000*PI()*0.8,0),IF(Data!$C$59=2,TRUNC(($A132*0.8-(AP132+0.1))/$P$90*2000*PI()*0.8,0),""))</f>
        <v>250</v>
      </c>
      <c r="AV132" s="699"/>
      <c r="AW132" s="699"/>
      <c r="AX132" s="704">
        <f t="shared" ca="1" si="37"/>
        <v>0.3430945054945021</v>
      </c>
      <c r="AY132" s="707">
        <f t="shared" ca="1" si="38"/>
        <v>8000</v>
      </c>
      <c r="AZ132" s="707">
        <f t="shared" ca="1" si="39"/>
        <v>2666.666666666667</v>
      </c>
      <c r="BA132" s="704">
        <f t="shared" ca="1" si="40"/>
        <v>1.26</v>
      </c>
      <c r="BB132" s="699">
        <f ca="1">IF(Data!$C$59=1,TRUNC(($A66*0.9-BA132)/$P$92*2000*PI()*0.8,0),IF(Data!$C$59=2,TRUNC(($A66*0.8-(BA132+0.1))/$P$92*2000*PI()*0.8,0),""))</f>
        <v>-239</v>
      </c>
      <c r="BC132" s="699"/>
      <c r="BD132" s="704">
        <f t="shared" ca="1" si="41"/>
        <v>0.3430945054945021</v>
      </c>
      <c r="BE132" s="707">
        <f t="shared" ca="1" si="42"/>
        <v>8000</v>
      </c>
      <c r="BF132" s="707">
        <f t="shared" ca="1" si="50"/>
        <v>1333.3333333333335</v>
      </c>
      <c r="BG132" s="699">
        <f t="shared" ca="1" si="43"/>
        <v>0.84000000000000008</v>
      </c>
      <c r="BH132" s="699">
        <f ca="1">IF(Data!$C$59=1,TRUNC(($A66*0.9-BG132)/$P$91*2000*PI()*0.8,0),IF(Data!$C$59=2,TRUNC(($A66*0.8-(BG132+0.1))/$P$91*2000*PI()*0.8,0),""))</f>
        <v>-267</v>
      </c>
      <c r="BI132" s="699"/>
      <c r="BJ132" s="704">
        <f t="shared" ca="1" si="44"/>
        <v>0.3430945054945021</v>
      </c>
      <c r="BK132" s="707">
        <f t="shared" ca="1" si="45"/>
        <v>8000</v>
      </c>
      <c r="BL132" s="707">
        <f t="shared" ca="1" si="46"/>
        <v>666.66666666666674</v>
      </c>
      <c r="BM132" s="699">
        <f t="shared" ca="1" si="47"/>
        <v>0.42000000000000004</v>
      </c>
      <c r="BN132" s="699">
        <f ca="1">IF(Data!$C$59=1,TRUNC(($A66*0.9-BM132)/$P$90*2000*PI()*0.8,0),IF(Data!$C$59=2,TRUNC(($A66*0.8-(BM132+0.1))/$P$90*2000*PI()*0.8,0),""))</f>
        <v>-111</v>
      </c>
      <c r="BO132" s="699"/>
      <c r="BP132" s="699"/>
      <c r="BQ132" s="699"/>
      <c r="BR132" s="699"/>
      <c r="BS132" s="699"/>
      <c r="BT132" s="699"/>
      <c r="BU132" s="699"/>
      <c r="BV132" s="699"/>
      <c r="BW132" s="699"/>
      <c r="BX132" s="699"/>
      <c r="BY132" s="699"/>
      <c r="BZ132" s="699"/>
      <c r="CA132" s="699"/>
      <c r="CB132" s="699"/>
    </row>
    <row r="133" spans="1:80">
      <c r="A133" s="586">
        <f t="shared" ca="1" si="48"/>
        <v>0.71071111111111174</v>
      </c>
      <c r="B133" s="655">
        <f ca="1">0.94*$B$84</f>
        <v>7520</v>
      </c>
      <c r="C133" s="586">
        <f t="shared" ca="1" si="53"/>
        <v>-2.4444444444444465E-5</v>
      </c>
      <c r="D133" s="586">
        <f t="shared" ca="1" si="18"/>
        <v>0.71071111111111174</v>
      </c>
      <c r="U133" s="707">
        <f t="shared" ca="1" si="21"/>
        <v>2506.6666666666665</v>
      </c>
      <c r="V133" s="707">
        <f t="shared" ca="1" si="22"/>
        <v>7520</v>
      </c>
      <c r="W133" s="704">
        <f t="shared" ca="1" si="23"/>
        <v>1.2023999999999999</v>
      </c>
      <c r="X133" s="704">
        <f t="shared" ca="1" si="24"/>
        <v>1.2023999999999999</v>
      </c>
      <c r="Y133" s="704" t="str">
        <f t="shared" ca="1" si="25"/>
        <v/>
      </c>
      <c r="Z133" s="704">
        <f ca="1">IF(Data!$E$83=1,Data!$L$117+Data!$F$59+X133/Data!$L$116/Data!$E$59/Data!$L$115,Data!$E$90+Data!$F$59+X133/Data!$G$90/Data!$E$59/Data!$D$90)</f>
        <v>1.3359999999999999</v>
      </c>
      <c r="AA133" s="705">
        <f t="shared" ca="1" si="26"/>
        <v>0.71071111111111174</v>
      </c>
      <c r="AB133" s="699">
        <f ca="1">IF(Data!$C$59=1,TRUNC(($A133*0.9-W133)/$P$92*2000*PI()*0.8,0),IF(Data!$C$59=2,TRUNC(($A133*0.8-(W133+0.1))/$P$92*2000*PI()*0.8,0),""))</f>
        <v>-141</v>
      </c>
      <c r="AC133" s="699"/>
      <c r="AD133" s="706"/>
      <c r="AE133" s="707">
        <f t="shared" ca="1" si="27"/>
        <v>1253.3333333333333</v>
      </c>
      <c r="AF133" s="707">
        <f t="shared" ca="1" si="28"/>
        <v>7520</v>
      </c>
      <c r="AG133" s="704">
        <f t="shared" ca="1" si="29"/>
        <v>0.80160000000000009</v>
      </c>
      <c r="AH133" s="704">
        <f t="shared" ca="1" si="16"/>
        <v>0.80160000000000009</v>
      </c>
      <c r="AI133" s="705" t="str">
        <f t="shared" ca="1" si="30"/>
        <v/>
      </c>
      <c r="AJ133" s="704">
        <f ca="1">IF(Data!$E$83=1,Data!$L$117+Data!$F$59+AH133/Data!$L$116/Data!$E$59/Data!$L$115,Data!$E$90+Data!$F$59+AH133/Data!$G$90/Data!$E$59/Data!$D$90)</f>
        <v>0.89066666666666672</v>
      </c>
      <c r="AK133" s="704">
        <f t="shared" ca="1" si="31"/>
        <v>0.71071111111111174</v>
      </c>
      <c r="AL133" s="699">
        <f ca="1">IF(Data!$C$59=1,TRUNC(($A133*0.9-AG133)/$P$91*2000*PI()*0.8,0),IF(Data!$C$59=2,TRUNC(($A133*0.8-(AG133+0.1))/$P$91*2000*PI()*0.8,0),""))</f>
        <v>-81</v>
      </c>
      <c r="AM133" s="706"/>
      <c r="AN133" s="707">
        <f t="shared" ca="1" si="32"/>
        <v>626.66666666666663</v>
      </c>
      <c r="AO133" s="707">
        <f t="shared" ca="1" si="33"/>
        <v>7520</v>
      </c>
      <c r="AP133" s="704">
        <f t="shared" ca="1" si="34"/>
        <v>0.40080000000000005</v>
      </c>
      <c r="AQ133" s="704">
        <f t="shared" ca="1" si="17"/>
        <v>0.40080000000000005</v>
      </c>
      <c r="AR133" s="704">
        <f t="shared" ca="1" si="35"/>
        <v>0.44533333333333336</v>
      </c>
      <c r="AS133" s="704">
        <f ca="1">IF(Data!$E$83=1,Data!$L$117+Data!$F$59+AQ133/Data!$L$116/Data!$E$59/Data!$L$115,Data!$E$90+Data!$F$59+AQ133/Data!$G$90/Data!$E$59/Data!$D$90)</f>
        <v>0.44533333333333336</v>
      </c>
      <c r="AT133" s="704">
        <f t="shared" ca="1" si="36"/>
        <v>0.71071111111111174</v>
      </c>
      <c r="AU133" s="699">
        <f ca="1">IF(Data!$C$59=1,TRUNC(($A133*0.9-AP133)/$P$90*2000*PI()*0.8,0),IF(Data!$C$59=2,TRUNC(($A133*0.8-(AP133+0.1))/$P$90*2000*PI()*0.8,0),""))</f>
        <v>240</v>
      </c>
      <c r="AV133" s="699"/>
      <c r="AW133" s="699"/>
      <c r="AX133" s="704">
        <f t="shared" ca="1" si="37"/>
        <v>0.27566839560439221</v>
      </c>
      <c r="AY133" s="707">
        <f t="shared" ca="1" si="38"/>
        <v>8000</v>
      </c>
      <c r="AZ133" s="707">
        <f t="shared" ca="1" si="39"/>
        <v>2666.666666666667</v>
      </c>
      <c r="BA133" s="704">
        <f t="shared" ca="1" si="40"/>
        <v>1.26</v>
      </c>
      <c r="BB133" s="699">
        <f ca="1">IF(Data!$C$59=1,TRUNC(($A67*0.9-BA133)/$P$92*2000*PI()*0.8,0),IF(Data!$C$59=2,TRUNC(($A67*0.8-(BA133+0.1))/$P$92*2000*PI()*0.8,0),""))</f>
        <v>-254</v>
      </c>
      <c r="BC133" s="699"/>
      <c r="BD133" s="704">
        <f t="shared" ca="1" si="41"/>
        <v>0.27566839560439221</v>
      </c>
      <c r="BE133" s="707">
        <f t="shared" ca="1" si="42"/>
        <v>8000</v>
      </c>
      <c r="BF133" s="707">
        <f t="shared" ca="1" si="50"/>
        <v>1333.3333333333335</v>
      </c>
      <c r="BG133" s="699">
        <f t="shared" ca="1" si="43"/>
        <v>0.84000000000000008</v>
      </c>
      <c r="BH133" s="699">
        <f ca="1">IF(Data!$C$59=1,TRUNC(($A67*0.9-BG133)/$P$91*2000*PI()*0.8,0),IF(Data!$C$59=2,TRUNC(($A67*0.8-(BG133+0.1))/$P$91*2000*PI()*0.8,0),""))</f>
        <v>-297</v>
      </c>
      <c r="BI133" s="699"/>
      <c r="BJ133" s="704">
        <f t="shared" ca="1" si="44"/>
        <v>0.27566839560439221</v>
      </c>
      <c r="BK133" s="707">
        <f t="shared" ca="1" si="45"/>
        <v>8000</v>
      </c>
      <c r="BL133" s="707">
        <f t="shared" ca="1" si="46"/>
        <v>666.66666666666674</v>
      </c>
      <c r="BM133" s="699">
        <f t="shared" ca="1" si="47"/>
        <v>0.42000000000000004</v>
      </c>
      <c r="BN133" s="699">
        <f ca="1">IF(Data!$C$59=1,TRUNC(($A67*0.9-BM133)/$P$90*2000*PI()*0.8,0),IF(Data!$C$59=2,TRUNC(($A67*0.8-(BM133+0.1))/$P$90*2000*PI()*0.8,0),""))</f>
        <v>-172</v>
      </c>
      <c r="BO133" s="699"/>
      <c r="BP133" s="699"/>
      <c r="BQ133" s="699"/>
      <c r="BR133" s="699"/>
      <c r="BS133" s="699"/>
      <c r="BT133" s="699"/>
      <c r="BU133" s="699"/>
      <c r="BV133" s="699"/>
      <c r="BW133" s="699"/>
      <c r="BX133" s="699"/>
      <c r="BY133" s="699"/>
      <c r="BZ133" s="699"/>
      <c r="CA133" s="699"/>
      <c r="CB133" s="699"/>
    </row>
    <row r="134" spans="1:80">
      <c r="A134" s="586">
        <f t="shared" ca="1" si="48"/>
        <v>0.70680000000000065</v>
      </c>
      <c r="B134" s="655">
        <f ca="1">0.96*$B$84</f>
        <v>7680</v>
      </c>
      <c r="C134" s="586">
        <f t="shared" ca="1" si="53"/>
        <v>-2.4444444444444465E-5</v>
      </c>
      <c r="D134" s="586">
        <f t="shared" ca="1" si="18"/>
        <v>0.70680000000000065</v>
      </c>
      <c r="U134" s="707">
        <f t="shared" ca="1" si="21"/>
        <v>2560</v>
      </c>
      <c r="V134" s="707">
        <f t="shared" ca="1" si="22"/>
        <v>7680</v>
      </c>
      <c r="W134" s="704">
        <f t="shared" ca="1" si="23"/>
        <v>1.2216</v>
      </c>
      <c r="X134" s="704">
        <f t="shared" ca="1" si="24"/>
        <v>1.2216</v>
      </c>
      <c r="Y134" s="704" t="str">
        <f t="shared" ca="1" si="25"/>
        <v/>
      </c>
      <c r="Z134" s="704">
        <f ca="1">IF(Data!$E$83=1,Data!$L$117+Data!$F$59+X134/Data!$L$116/Data!$E$59/Data!$L$115,Data!$E$90+Data!$F$59+X134/Data!$G$90/Data!$E$59/Data!$D$90)</f>
        <v>1.3573333333333333</v>
      </c>
      <c r="AA134" s="705">
        <f t="shared" ca="1" si="26"/>
        <v>0.70680000000000065</v>
      </c>
      <c r="AB134" s="699">
        <f ca="1">IF(Data!$C$59=1,TRUNC(($A134*0.9-W134)/$P$92*2000*PI()*0.8,0),IF(Data!$C$59=2,TRUNC(($A134*0.8-(W134+0.1))/$P$92*2000*PI()*0.8,0),""))</f>
        <v>-147</v>
      </c>
      <c r="AC134" s="699"/>
      <c r="AD134" s="706"/>
      <c r="AE134" s="707">
        <f t="shared" ca="1" si="27"/>
        <v>1280</v>
      </c>
      <c r="AF134" s="707">
        <f t="shared" ca="1" si="28"/>
        <v>7680</v>
      </c>
      <c r="AG134" s="704">
        <f t="shared" ca="1" si="29"/>
        <v>0.81440000000000001</v>
      </c>
      <c r="AH134" s="704">
        <f t="shared" ca="1" si="16"/>
        <v>0.81440000000000001</v>
      </c>
      <c r="AI134" s="705" t="str">
        <f t="shared" ca="1" si="30"/>
        <v/>
      </c>
      <c r="AJ134" s="704">
        <f ca="1">IF(Data!$E$83=1,Data!$L$117+Data!$F$59+AH134/Data!$L$116/Data!$E$59/Data!$L$115,Data!$E$90+Data!$F$59+AH134/Data!$G$90/Data!$E$59/Data!$D$90)</f>
        <v>0.90488888888888885</v>
      </c>
      <c r="AK134" s="704">
        <f t="shared" ca="1" si="31"/>
        <v>0.70680000000000065</v>
      </c>
      <c r="AL134" s="699">
        <f ca="1">IF(Data!$C$59=1,TRUNC(($A134*0.9-AG134)/$P$91*2000*PI()*0.8,0),IF(Data!$C$59=2,TRUNC(($A134*0.8-(AG134+0.1))/$P$91*2000*PI()*0.8,0),""))</f>
        <v>-89</v>
      </c>
      <c r="AM134" s="706"/>
      <c r="AN134" s="707">
        <f t="shared" ca="1" si="32"/>
        <v>640</v>
      </c>
      <c r="AO134" s="707">
        <f t="shared" ca="1" si="33"/>
        <v>7680</v>
      </c>
      <c r="AP134" s="704">
        <f t="shared" ca="1" si="34"/>
        <v>0.40720000000000001</v>
      </c>
      <c r="AQ134" s="704">
        <f t="shared" ca="1" si="17"/>
        <v>0.40720000000000001</v>
      </c>
      <c r="AR134" s="704">
        <f t="shared" ca="1" si="35"/>
        <v>0.45244444444444443</v>
      </c>
      <c r="AS134" s="704">
        <f ca="1">IF(Data!$E$83=1,Data!$L$117+Data!$F$59+AQ134/Data!$L$116/Data!$E$59/Data!$L$115,Data!$E$90+Data!$F$59+AQ134/Data!$G$90/Data!$E$59/Data!$D$90)</f>
        <v>0.45244444444444443</v>
      </c>
      <c r="AT134" s="704">
        <f t="shared" ca="1" si="36"/>
        <v>0.70680000000000065</v>
      </c>
      <c r="AU134" s="699">
        <f ca="1">IF(Data!$C$59=1,TRUNC(($A134*0.9-AP134)/$P$90*2000*PI()*0.8,0),IF(Data!$C$59=2,TRUNC(($A134*0.8-(AP134+0.1))/$P$90*2000*PI()*0.8,0),""))</f>
        <v>230</v>
      </c>
      <c r="AV134" s="699"/>
      <c r="AW134" s="699"/>
      <c r="AX134" s="704">
        <f t="shared" ca="1" si="37"/>
        <v>0.20764589010988635</v>
      </c>
      <c r="AY134" s="707">
        <f t="shared" ca="1" si="38"/>
        <v>8000</v>
      </c>
      <c r="AZ134" s="707">
        <f t="shared" ca="1" si="39"/>
        <v>2666.666666666667</v>
      </c>
      <c r="BA134" s="704">
        <f t="shared" ca="1" si="40"/>
        <v>1.26</v>
      </c>
      <c r="BB134" s="699">
        <f ca="1">IF(Data!$C$59=1,TRUNC(($A68*0.9-BA134)/$P$92*2000*PI()*0.8,0),IF(Data!$C$59=2,TRUNC(($A68*0.8-(BA134+0.1))/$P$92*2000*PI()*0.8,0),""))</f>
        <v>-269</v>
      </c>
      <c r="BC134" s="699"/>
      <c r="BD134" s="704">
        <f t="shared" ca="1" si="41"/>
        <v>0.20764589010988635</v>
      </c>
      <c r="BE134" s="707">
        <f t="shared" ca="1" si="42"/>
        <v>8000</v>
      </c>
      <c r="BF134" s="707">
        <f t="shared" ca="1" si="50"/>
        <v>1333.3333333333335</v>
      </c>
      <c r="BG134" s="699">
        <f t="shared" ca="1" si="43"/>
        <v>0.84000000000000008</v>
      </c>
      <c r="BH134" s="699">
        <f ca="1">IF(Data!$C$59=1,TRUNC(($A68*0.9-BG134)/$P$91*2000*PI()*0.8,0),IF(Data!$C$59=2,TRUNC(($A68*0.8-(BG134+0.1))/$P$91*2000*PI()*0.8,0),""))</f>
        <v>-328</v>
      </c>
      <c r="BI134" s="699"/>
      <c r="BJ134" s="704">
        <f t="shared" ca="1" si="44"/>
        <v>0.20764589010988635</v>
      </c>
      <c r="BK134" s="707">
        <f t="shared" ca="1" si="45"/>
        <v>8000</v>
      </c>
      <c r="BL134" s="707">
        <f t="shared" ca="1" si="46"/>
        <v>666.66666666666674</v>
      </c>
      <c r="BM134" s="699">
        <f t="shared" ca="1" si="47"/>
        <v>0.42000000000000004</v>
      </c>
      <c r="BN134" s="699">
        <f ca="1">IF(Data!$C$59=1,TRUNC(($A68*0.9-BM134)/$P$90*2000*PI()*0.8,0),IF(Data!$C$59=2,TRUNC(($A68*0.8-(BM134+0.1))/$P$90*2000*PI()*0.8,0),""))</f>
        <v>-234</v>
      </c>
      <c r="BO134" s="699"/>
      <c r="BP134" s="699"/>
      <c r="BQ134" s="699"/>
      <c r="BR134" s="699"/>
      <c r="BS134" s="699"/>
      <c r="BT134" s="699"/>
      <c r="BU134" s="699"/>
      <c r="BV134" s="699"/>
      <c r="BW134" s="699"/>
      <c r="BX134" s="699"/>
      <c r="BY134" s="699"/>
      <c r="BZ134" s="699"/>
      <c r="CA134" s="699"/>
      <c r="CB134" s="699"/>
    </row>
    <row r="135" spans="1:80">
      <c r="A135" s="586">
        <f t="shared" ca="1" si="48"/>
        <v>0.70288888888888956</v>
      </c>
      <c r="B135" s="655">
        <f ca="1">0.98*$B$84</f>
        <v>7840</v>
      </c>
      <c r="C135" s="586">
        <f t="shared" ca="1" si="53"/>
        <v>-2.4444444444444465E-5</v>
      </c>
      <c r="D135" s="586">
        <f t="shared" ca="1" si="18"/>
        <v>0.70288888888888956</v>
      </c>
      <c r="U135" s="707">
        <f t="shared" ca="1" si="21"/>
        <v>2613.333333333333</v>
      </c>
      <c r="V135" s="707">
        <f t="shared" ca="1" si="22"/>
        <v>7840</v>
      </c>
      <c r="W135" s="704">
        <f t="shared" ca="1" si="23"/>
        <v>1.2407999999999999</v>
      </c>
      <c r="X135" s="704">
        <f t="shared" ca="1" si="24"/>
        <v>1.2407999999999999</v>
      </c>
      <c r="Y135" s="704" t="str">
        <f t="shared" ca="1" si="25"/>
        <v/>
      </c>
      <c r="Z135" s="704">
        <f ca="1">IF(Data!$E$83=1,Data!$L$117+Data!$F$59+X135/Data!$L$116/Data!$E$59/Data!$L$115,Data!$E$90+Data!$F$59+X135/Data!$G$90/Data!$E$59/Data!$D$90)</f>
        <v>1.3786666666666665</v>
      </c>
      <c r="AA135" s="705">
        <f t="shared" ca="1" si="26"/>
        <v>0.70288888888888956</v>
      </c>
      <c r="AB135" s="699">
        <f ca="1">IF(Data!$C$59=1,TRUNC(($A135*0.9-W135)/$P$92*2000*PI()*0.8,0),IF(Data!$C$59=2,TRUNC(($A135*0.8-(W135+0.1))/$P$92*2000*PI()*0.8,0),""))</f>
        <v>-152</v>
      </c>
      <c r="AC135" s="699"/>
      <c r="AD135" s="706"/>
      <c r="AE135" s="707">
        <f t="shared" ca="1" si="27"/>
        <v>1306.6666666666665</v>
      </c>
      <c r="AF135" s="707">
        <f t="shared" ca="1" si="28"/>
        <v>7839.9999999999991</v>
      </c>
      <c r="AG135" s="704">
        <f t="shared" ca="1" si="29"/>
        <v>0.82719999999999994</v>
      </c>
      <c r="AH135" s="704">
        <f t="shared" ca="1" si="16"/>
        <v>0.82719999999999994</v>
      </c>
      <c r="AI135" s="705" t="str">
        <f t="shared" ca="1" si="30"/>
        <v/>
      </c>
      <c r="AJ135" s="704">
        <f ca="1">IF(Data!$E$83=1,Data!$L$117+Data!$F$59+AH135/Data!$L$116/Data!$E$59/Data!$L$115,Data!$E$90+Data!$F$59+AH135/Data!$G$90/Data!$E$59/Data!$D$90)</f>
        <v>0.91911111111111099</v>
      </c>
      <c r="AK135" s="704">
        <f t="shared" ca="1" si="31"/>
        <v>0.70288888888888956</v>
      </c>
      <c r="AL135" s="699">
        <f ca="1">IF(Data!$C$59=1,TRUNC(($A135*0.9-AG135)/$P$91*2000*PI()*0.8,0),IF(Data!$C$59=2,TRUNC(($A135*0.8-(AG135+0.1))/$P$91*2000*PI()*0.8,0),""))</f>
        <v>-97</v>
      </c>
      <c r="AM135" s="706"/>
      <c r="AN135" s="707">
        <f t="shared" ca="1" si="32"/>
        <v>653.33333333333326</v>
      </c>
      <c r="AO135" s="707">
        <f t="shared" ca="1" si="33"/>
        <v>7839.9999999999991</v>
      </c>
      <c r="AP135" s="704">
        <f t="shared" ca="1" si="34"/>
        <v>0.41359999999999997</v>
      </c>
      <c r="AQ135" s="704">
        <f t="shared" ca="1" si="17"/>
        <v>0.41359999999999997</v>
      </c>
      <c r="AR135" s="704">
        <f t="shared" ca="1" si="35"/>
        <v>0.45955555555555549</v>
      </c>
      <c r="AS135" s="704">
        <f ca="1">IF(Data!$E$83=1,Data!$L$117+Data!$F$59+AQ135/Data!$L$116/Data!$E$59/Data!$L$115,Data!$E$90+Data!$F$59+AQ135/Data!$G$90/Data!$E$59/Data!$D$90)</f>
        <v>0.45955555555555549</v>
      </c>
      <c r="AT135" s="704">
        <f t="shared" ca="1" si="36"/>
        <v>0.70288888888888956</v>
      </c>
      <c r="AU135" s="699">
        <f ca="1">IF(Data!$C$59=1,TRUNC(($A135*0.9-AP135)/$P$90*2000*PI()*0.8,0),IF(Data!$C$59=2,TRUNC(($A135*0.8-(AP135+0.1))/$P$90*2000*PI()*0.8,0),""))</f>
        <v>220</v>
      </c>
      <c r="AV135" s="699"/>
      <c r="AW135" s="699"/>
      <c r="AX135" s="704">
        <f t="shared" ca="1" si="37"/>
        <v>0.13902698901098556</v>
      </c>
      <c r="AY135" s="707">
        <f t="shared" ca="1" si="38"/>
        <v>8000</v>
      </c>
      <c r="AZ135" s="707">
        <f t="shared" ca="1" si="39"/>
        <v>2666.666666666667</v>
      </c>
      <c r="BA135" s="704">
        <f t="shared" ca="1" si="40"/>
        <v>1.26</v>
      </c>
      <c r="BB135" s="699">
        <f ca="1">IF(Data!$C$59=1,TRUNC(($A69*0.9-BA135)/$P$92*2000*PI()*0.8,0),IF(Data!$C$59=2,TRUNC(($A69*0.8-(BA135+0.1))/$P$92*2000*PI()*0.8,0),""))</f>
        <v>-285</v>
      </c>
      <c r="BC135" s="699"/>
      <c r="BD135" s="704">
        <f t="shared" ca="1" si="41"/>
        <v>0.13902698901098556</v>
      </c>
      <c r="BE135" s="707">
        <f t="shared" ca="1" si="42"/>
        <v>8000</v>
      </c>
      <c r="BF135" s="707">
        <f t="shared" ca="1" si="50"/>
        <v>1333.3333333333335</v>
      </c>
      <c r="BG135" s="699">
        <f t="shared" ca="1" si="43"/>
        <v>0.84000000000000008</v>
      </c>
      <c r="BH135" s="699">
        <f ca="1">IF(Data!$C$59=1,TRUNC(($A69*0.9-BG135)/$P$91*2000*PI()*0.8,0),IF(Data!$C$59=2,TRUNC(($A69*0.8-(BG135+0.1))/$P$91*2000*PI()*0.8,0),""))</f>
        <v>-359</v>
      </c>
      <c r="BI135" s="699"/>
      <c r="BJ135" s="704">
        <f t="shared" ca="1" si="44"/>
        <v>0.13902698901098556</v>
      </c>
      <c r="BK135" s="707">
        <f t="shared" ca="1" si="45"/>
        <v>8000</v>
      </c>
      <c r="BL135" s="707">
        <f t="shared" ca="1" si="46"/>
        <v>666.66666666666674</v>
      </c>
      <c r="BM135" s="699">
        <f t="shared" ca="1" si="47"/>
        <v>0.42000000000000004</v>
      </c>
      <c r="BN135" s="699">
        <f ca="1">IF(Data!$C$59=1,TRUNC(($A69*0.9-BM135)/$P$90*2000*PI()*0.8,0),IF(Data!$C$59=2,TRUNC(($A69*0.8-(BM135+0.1))/$P$90*2000*PI()*0.8,0),""))</f>
        <v>-296</v>
      </c>
      <c r="BO135" s="699"/>
      <c r="BP135" s="699"/>
      <c r="BQ135" s="699"/>
      <c r="BR135" s="699"/>
      <c r="BS135" s="699"/>
      <c r="BT135" s="699"/>
      <c r="BU135" s="699"/>
      <c r="BV135" s="699"/>
      <c r="BW135" s="699"/>
      <c r="BX135" s="699"/>
      <c r="BY135" s="699"/>
      <c r="BZ135" s="699"/>
      <c r="CA135" s="699"/>
      <c r="CB135" s="699"/>
    </row>
    <row r="136" spans="1:80">
      <c r="A136" s="586">
        <f ca="1">C84</f>
        <v>0.7</v>
      </c>
      <c r="B136" s="586">
        <f ca="1">1*$B$73</f>
        <v>8000</v>
      </c>
      <c r="D136" s="586">
        <f t="shared" ca="1" si="18"/>
        <v>0.7</v>
      </c>
      <c r="U136" s="707">
        <f t="shared" ca="1" si="21"/>
        <v>2666.666666666667</v>
      </c>
      <c r="V136" s="707">
        <f t="shared" ca="1" si="22"/>
        <v>8000</v>
      </c>
      <c r="W136" s="704">
        <f t="shared" ca="1" si="23"/>
        <v>1.26</v>
      </c>
      <c r="X136" s="704">
        <f t="shared" ca="1" si="24"/>
        <v>1.26</v>
      </c>
      <c r="Y136" s="704" t="str">
        <f t="shared" ca="1" si="25"/>
        <v/>
      </c>
      <c r="Z136" s="704">
        <f ca="1">IF(Data!$E$83=1,Data!$L$117+Data!$F$59+X136/Data!$L$116/Data!$E$59/Data!$L$115,Data!$E$90+Data!$F$59+X136/Data!$G$90/Data!$E$59/Data!$D$90)</f>
        <v>1.4</v>
      </c>
      <c r="AA136" s="705">
        <f t="shared" ca="1" si="26"/>
        <v>0.7</v>
      </c>
      <c r="AB136" s="699">
        <f ca="1">IF(Data!$C$59=1,TRUNC(($A136*0.9-W136)/$P$92*2000*PI()*0.8,0),IF(Data!$C$59=2,TRUNC(($A136*0.8-(W136+0.1))/$P$92*2000*PI()*0.8,0),""))</f>
        <v>-158</v>
      </c>
      <c r="AC136" s="699"/>
      <c r="AD136" s="706"/>
      <c r="AE136" s="707">
        <f t="shared" ca="1" si="27"/>
        <v>1333.3333333333335</v>
      </c>
      <c r="AF136" s="707">
        <f t="shared" ca="1" si="28"/>
        <v>8000.0000000000009</v>
      </c>
      <c r="AG136" s="704">
        <f t="shared" ca="1" si="29"/>
        <v>0.84000000000000008</v>
      </c>
      <c r="AH136" s="704">
        <f t="shared" ca="1" si="16"/>
        <v>0.84000000000000008</v>
      </c>
      <c r="AI136" s="705" t="str">
        <f t="shared" ca="1" si="30"/>
        <v/>
      </c>
      <c r="AJ136" s="704">
        <f ca="1">IF(Data!$E$83=1,Data!$L$117+Data!$F$59+AH136/Data!$L$116/Data!$E$59/Data!$L$115,Data!$E$90+Data!$F$59+AH136/Data!$G$90/Data!$E$59/Data!$D$90)</f>
        <v>0.93333333333333335</v>
      </c>
      <c r="AK136" s="704">
        <f t="shared" ca="1" si="31"/>
        <v>0.7</v>
      </c>
      <c r="AL136" s="699">
        <f ca="1">IF(Data!$C$59=1,TRUNC(($A136*0.9-AG136)/$P$91*2000*PI()*0.8,0),IF(Data!$C$59=2,TRUNC(($A136*0.8-(AG136+0.1))/$P$91*2000*PI()*0.8,0),""))</f>
        <v>-105</v>
      </c>
      <c r="AM136" s="706"/>
      <c r="AN136" s="707">
        <f t="shared" ca="1" si="32"/>
        <v>666.66666666666674</v>
      </c>
      <c r="AO136" s="707">
        <f t="shared" ca="1" si="33"/>
        <v>8000.0000000000009</v>
      </c>
      <c r="AP136" s="704">
        <f t="shared" ca="1" si="34"/>
        <v>0.42000000000000004</v>
      </c>
      <c r="AQ136" s="704">
        <f t="shared" ca="1" si="17"/>
        <v>0.42000000000000004</v>
      </c>
      <c r="AR136" s="704">
        <f t="shared" ca="1" si="35"/>
        <v>0.46666666666666667</v>
      </c>
      <c r="AS136" s="704">
        <f ca="1">IF(Data!$E$83=1,Data!$L$117+Data!$F$59+AQ136/Data!$L$116/Data!$E$59/Data!$L$115,Data!$E$90+Data!$F$59+AQ136/Data!$G$90/Data!$E$59/Data!$D$90)</f>
        <v>0.46666666666666667</v>
      </c>
      <c r="AT136" s="704">
        <f t="shared" ca="1" si="36"/>
        <v>0.7</v>
      </c>
      <c r="AU136" s="699">
        <f ca="1">IF(Data!$C$59=1,TRUNC(($A136*0.9-AP136)/$P$90*2000*PI()*0.8,0),IF(Data!$C$59=2,TRUNC(($A136*0.8-(AP136+0.1))/$P$90*2000*PI()*0.8,0),""))</f>
        <v>211</v>
      </c>
      <c r="AV136" s="699"/>
      <c r="AW136" s="699"/>
      <c r="AX136" s="704">
        <f t="shared" ca="1" si="37"/>
        <v>6.9811692307688827E-2</v>
      </c>
      <c r="AY136" s="707">
        <f t="shared" ca="1" si="38"/>
        <v>8000</v>
      </c>
      <c r="AZ136" s="707">
        <f t="shared" ca="1" si="39"/>
        <v>2666.666666666667</v>
      </c>
      <c r="BA136" s="704">
        <f t="shared" ca="1" si="40"/>
        <v>1.26</v>
      </c>
      <c r="BB136" s="699">
        <f ca="1">IF(Data!$C$59=1,TRUNC(($A70*0.9-BA136)/$P$92*2000*PI()*0.8,0),IF(Data!$C$59=2,TRUNC(($A70*0.8-(BA136+0.1))/$P$92*2000*PI()*0.8,0),""))</f>
        <v>-300</v>
      </c>
      <c r="BC136" s="699"/>
      <c r="BD136" s="704">
        <f t="shared" ca="1" si="41"/>
        <v>6.9811692307688827E-2</v>
      </c>
      <c r="BE136" s="707">
        <f t="shared" ca="1" si="42"/>
        <v>8000</v>
      </c>
      <c r="BF136" s="707">
        <f t="shared" ca="1" si="50"/>
        <v>1333.3333333333335</v>
      </c>
      <c r="BG136" s="699">
        <f t="shared" ca="1" si="43"/>
        <v>0.84000000000000008</v>
      </c>
      <c r="BH136" s="699">
        <f ca="1">IF(Data!$C$59=1,TRUNC(($A70*0.9-BG136)/$P$91*2000*PI()*0.8,0),IF(Data!$C$59=2,TRUNC(($A70*0.8-(BG136+0.1))/$P$91*2000*PI()*0.8,0),""))</f>
        <v>-390</v>
      </c>
      <c r="BI136" s="699"/>
      <c r="BJ136" s="704">
        <f t="shared" ca="1" si="44"/>
        <v>6.9811692307688827E-2</v>
      </c>
      <c r="BK136" s="707">
        <f t="shared" ca="1" si="45"/>
        <v>8000</v>
      </c>
      <c r="BL136" s="707">
        <f t="shared" ca="1" si="46"/>
        <v>666.66666666666674</v>
      </c>
      <c r="BM136" s="699">
        <f t="shared" ca="1" si="47"/>
        <v>0.42000000000000004</v>
      </c>
      <c r="BN136" s="699">
        <f ca="1">IF(Data!$C$59=1,TRUNC(($A70*0.9-BM136)/$P$90*2000*PI()*0.8,0),IF(Data!$C$59=2,TRUNC(($A70*0.8-(BM136+0.1))/$P$90*2000*PI()*0.8,0),""))</f>
        <v>-359</v>
      </c>
      <c r="BO136" s="699"/>
      <c r="BP136" s="699"/>
      <c r="BQ136" s="699"/>
      <c r="BR136" s="699"/>
      <c r="BS136" s="699"/>
      <c r="BT136" s="699"/>
      <c r="BU136" s="699"/>
      <c r="BV136" s="699"/>
      <c r="BW136" s="699"/>
      <c r="BX136" s="699"/>
      <c r="BY136" s="699"/>
      <c r="BZ136" s="699"/>
      <c r="CA136" s="699"/>
      <c r="CB136" s="699"/>
    </row>
    <row r="137" spans="1:80" ht="13.5" thickBot="1">
      <c r="A137" s="586">
        <v>0</v>
      </c>
      <c r="B137" s="586">
        <f ca="1">B136</f>
        <v>8000</v>
      </c>
      <c r="U137" s="707">
        <f ca="1">U136</f>
        <v>2666.666666666667</v>
      </c>
      <c r="V137" s="699"/>
      <c r="W137" s="699"/>
      <c r="X137" s="699"/>
      <c r="Y137" s="699"/>
      <c r="Z137" s="704"/>
      <c r="AA137" s="699"/>
      <c r="AB137" s="699">
        <f>IF(Data!$C$59=1,TRUNC(($A137*0.9-W137)/$P$92*2000*PI()*0.8,0),IF(Data!$C$59=2,TRUNC(($A137*0.8-(W137+0.1))/$P$92*2000*PI()*0.8,0),""))</f>
        <v>0</v>
      </c>
      <c r="AC137" s="699"/>
      <c r="AD137" s="706"/>
      <c r="AE137" s="707">
        <f ca="1">AE136</f>
        <v>1333.3333333333335</v>
      </c>
      <c r="AF137" s="707">
        <f t="shared" ca="1" si="28"/>
        <v>8000.0000000000009</v>
      </c>
      <c r="AG137" s="704">
        <f t="shared" ca="1" si="29"/>
        <v>0.84000000000000008</v>
      </c>
      <c r="AH137" s="704">
        <f t="shared" ca="1" si="16"/>
        <v>0.84000000000000008</v>
      </c>
      <c r="AI137" s="699"/>
      <c r="AJ137" s="704">
        <f ca="1">IF(Data!$E$83=1,Data!$L$117+Data!$F$59+AH137/Data!$L$116/Data!$E$59/Data!$L$115,Data!$E$90+Data!$F$59+AH137/Data!$G$90/Data!$E$59/Data!$D$90)</f>
        <v>0.93333333333333335</v>
      </c>
      <c r="AK137" s="699"/>
      <c r="AL137" s="699"/>
      <c r="AM137" s="706"/>
      <c r="AN137" s="707">
        <f ca="1">AN136</f>
        <v>666.66666666666674</v>
      </c>
      <c r="AO137" s="707">
        <f t="shared" ca="1" si="33"/>
        <v>8000.0000000000009</v>
      </c>
      <c r="AP137" s="704">
        <f t="shared" ca="1" si="34"/>
        <v>0.42000000000000004</v>
      </c>
      <c r="AQ137" s="704">
        <f t="shared" ca="1" si="17"/>
        <v>0.42000000000000004</v>
      </c>
      <c r="AR137" s="699"/>
      <c r="AS137" s="704">
        <f ca="1">IF(Data!$E$83=1,Data!$L$117+Data!$F$59+AQ137/Data!$L$116/Data!$E$59/Data!$L$115,Data!$E$90+Data!$F$59+AQ137/Data!$G$90/Data!$E$59/Data!$D$90)</f>
        <v>0.46666666666666667</v>
      </c>
      <c r="AT137" s="699"/>
      <c r="AU137" s="699"/>
      <c r="AV137" s="699"/>
      <c r="AW137" s="699"/>
      <c r="AX137" s="704">
        <f t="shared" ca="1" si="37"/>
        <v>0</v>
      </c>
      <c r="AY137" s="707">
        <f t="shared" ca="1" si="38"/>
        <v>8000</v>
      </c>
      <c r="AZ137" s="707">
        <f t="shared" ca="1" si="39"/>
        <v>2666.666666666667</v>
      </c>
      <c r="BA137" s="704">
        <f t="shared" ca="1" si="40"/>
        <v>1.26</v>
      </c>
      <c r="BB137" s="699">
        <f ca="1">IF(Data!$C$59=1,TRUNC(($A71*0.9-BA137)/$P$92*2000*PI()*0.8,0),IF(Data!$C$59=2,TRUNC(($A71*0.8-(BA137+0.1))/$P$92*2000*PI()*0.8,0),""))</f>
        <v>-316</v>
      </c>
      <c r="BC137" s="699"/>
      <c r="BD137" s="704">
        <f t="shared" ca="1" si="41"/>
        <v>0</v>
      </c>
      <c r="BE137" s="707">
        <f t="shared" ca="1" si="42"/>
        <v>8000</v>
      </c>
      <c r="BF137" s="707">
        <f t="shared" ca="1" si="50"/>
        <v>1333.3333333333335</v>
      </c>
      <c r="BG137" s="699">
        <f t="shared" ca="1" si="43"/>
        <v>0.84000000000000008</v>
      </c>
      <c r="BH137" s="699">
        <f ca="1">IF(Data!$C$59=1,TRUNC(($A71*0.9-BG137)/$P$91*2000*PI()*0.8,0),IF(Data!$C$59=2,TRUNC(($A71*0.8-(BG137+0.1))/$P$91*2000*PI()*0.8,0),""))</f>
        <v>-422</v>
      </c>
      <c r="BI137" s="699"/>
      <c r="BJ137" s="704">
        <f t="shared" ca="1" si="44"/>
        <v>0</v>
      </c>
      <c r="BK137" s="707">
        <f t="shared" ca="1" si="45"/>
        <v>8000</v>
      </c>
      <c r="BL137" s="707">
        <f t="shared" ca="1" si="46"/>
        <v>666.66666666666674</v>
      </c>
      <c r="BM137" s="699">
        <f t="shared" ca="1" si="47"/>
        <v>0.42000000000000004</v>
      </c>
      <c r="BN137" s="699">
        <f ca="1">IF(Data!$C$59=1,TRUNC(($A71*0.9-BM137)/$P$90*2000*PI()*0.8,0),IF(Data!$C$59=2,TRUNC(($A71*0.8-(BM137+0.1))/$P$90*2000*PI()*0.8,0),""))</f>
        <v>-422</v>
      </c>
      <c r="BO137" s="699"/>
      <c r="BP137" s="699"/>
      <c r="BQ137" s="699"/>
      <c r="BR137" s="699"/>
      <c r="BS137" s="699"/>
      <c r="BT137" s="699"/>
      <c r="BU137" s="699"/>
      <c r="BV137" s="699"/>
      <c r="BW137" s="699"/>
      <c r="BX137" s="699"/>
      <c r="BY137" s="699"/>
      <c r="BZ137" s="699"/>
      <c r="CA137" s="699"/>
      <c r="CB137" s="699"/>
    </row>
    <row r="138" spans="1:80" ht="13.5" thickBot="1">
      <c r="U138" s="699"/>
      <c r="V138" s="1058" t="s">
        <v>1869</v>
      </c>
      <c r="W138" s="1061"/>
      <c r="X138" s="1061"/>
      <c r="Y138" s="1061"/>
      <c r="Z138" s="1061"/>
      <c r="AA138" s="1061"/>
      <c r="AB138" s="1061"/>
      <c r="AC138" s="1061"/>
      <c r="AD138" s="1061"/>
      <c r="AE138" s="1061"/>
      <c r="AF138" s="1061"/>
      <c r="AG138" s="1061"/>
      <c r="AH138" s="1061"/>
      <c r="AI138" s="1061"/>
      <c r="AJ138" s="1061"/>
      <c r="AK138" s="1061"/>
      <c r="AL138" s="1061"/>
      <c r="AM138" s="1061"/>
      <c r="AN138" s="1061"/>
      <c r="AO138" s="1061"/>
      <c r="AP138" s="1061"/>
      <c r="AQ138" s="1061"/>
      <c r="AR138" s="1061"/>
      <c r="AS138" s="1061"/>
      <c r="AT138" s="1061"/>
      <c r="AU138" s="1061"/>
      <c r="AV138" s="1061"/>
      <c r="AW138" s="1061"/>
      <c r="AX138" s="1061"/>
      <c r="AY138" s="1061"/>
      <c r="AZ138" s="1061"/>
      <c r="BA138" s="1061"/>
      <c r="BB138" s="1061"/>
      <c r="BC138" s="1061"/>
      <c r="BD138" s="1062"/>
      <c r="BE138" s="699"/>
      <c r="BF138" s="1058" t="s">
        <v>1870</v>
      </c>
      <c r="BG138" s="1061"/>
      <c r="BH138" s="1061"/>
      <c r="BI138" s="1061"/>
      <c r="BJ138" s="1061"/>
      <c r="BK138" s="1061"/>
      <c r="BL138" s="1061"/>
      <c r="BM138" s="1061"/>
      <c r="BN138" s="1061"/>
      <c r="BO138" s="1061"/>
      <c r="BP138" s="1061"/>
      <c r="BQ138" s="1061"/>
      <c r="BR138" s="1061"/>
      <c r="BS138" s="1061"/>
      <c r="BT138" s="1061"/>
      <c r="BU138" s="1061"/>
      <c r="BV138" s="1061"/>
      <c r="BW138" s="1061"/>
      <c r="BX138" s="1061"/>
      <c r="BY138" s="1061"/>
      <c r="BZ138" s="1061"/>
      <c r="CA138" s="1061"/>
      <c r="CB138" s="1062"/>
    </row>
    <row r="139" spans="1:80">
      <c r="U139" s="699"/>
      <c r="V139" s="700" t="s">
        <v>1831</v>
      </c>
      <c r="W139" s="699"/>
      <c r="X139" s="699"/>
      <c r="Y139" s="699"/>
      <c r="Z139" s="704"/>
      <c r="AA139" s="699"/>
      <c r="AB139" s="699"/>
      <c r="AC139" s="699"/>
      <c r="AD139" s="706"/>
      <c r="AE139" s="699"/>
      <c r="AF139" s="700" t="s">
        <v>1832</v>
      </c>
      <c r="AG139" s="699"/>
      <c r="AH139" s="699"/>
      <c r="AI139" s="699"/>
      <c r="AJ139" s="699"/>
      <c r="AK139" s="699"/>
      <c r="AL139" s="699"/>
      <c r="AM139" s="706"/>
      <c r="AN139" s="699"/>
      <c r="AO139" s="700" t="s">
        <v>1833</v>
      </c>
      <c r="AP139" s="699"/>
      <c r="AQ139" s="699"/>
      <c r="AR139" s="699"/>
      <c r="AS139" s="699"/>
      <c r="AT139" s="699"/>
      <c r="AU139" s="699"/>
      <c r="AV139" s="699"/>
      <c r="AW139" s="700" t="s">
        <v>1834</v>
      </c>
      <c r="AX139" s="699"/>
      <c r="AY139" s="699"/>
      <c r="AZ139" s="699"/>
      <c r="BA139" s="699"/>
      <c r="BB139" s="699"/>
      <c r="BC139" s="699"/>
      <c r="BD139" s="699"/>
      <c r="BE139" s="699"/>
      <c r="BF139" s="699"/>
      <c r="BG139" s="699"/>
      <c r="BH139" s="699"/>
      <c r="BI139" s="699"/>
      <c r="BJ139" s="699"/>
      <c r="BK139" s="699"/>
      <c r="BL139" s="699"/>
      <c r="BM139" s="699"/>
      <c r="BN139" s="699"/>
      <c r="BO139" s="699"/>
      <c r="BP139" s="699"/>
      <c r="BQ139" s="699"/>
      <c r="BR139" s="699"/>
      <c r="BS139" s="699"/>
      <c r="BT139" s="699"/>
      <c r="BU139" s="699"/>
      <c r="BV139" s="699"/>
      <c r="BW139" s="699"/>
      <c r="BX139" s="699"/>
      <c r="BY139" s="699"/>
      <c r="BZ139" s="699"/>
      <c r="CA139" s="699"/>
      <c r="CB139" s="699"/>
    </row>
    <row r="140" spans="1:80">
      <c r="A140" s="586" t="s">
        <v>1835</v>
      </c>
      <c r="U140" s="699"/>
      <c r="V140" s="700"/>
      <c r="W140" s="700" t="s">
        <v>158</v>
      </c>
      <c r="X140" s="700" t="s">
        <v>1821</v>
      </c>
      <c r="Y140" s="700" t="s">
        <v>1822</v>
      </c>
      <c r="Z140" s="701" t="s">
        <v>1822</v>
      </c>
      <c r="AA140" s="701" t="s">
        <v>1850</v>
      </c>
      <c r="AB140" s="701" t="s">
        <v>1864</v>
      </c>
      <c r="AC140" s="701"/>
      <c r="AD140" s="702"/>
      <c r="AE140" s="699"/>
      <c r="AF140" s="700"/>
      <c r="AG140" s="700" t="s">
        <v>158</v>
      </c>
      <c r="AH140" s="700" t="s">
        <v>1821</v>
      </c>
      <c r="AI140" s="700" t="s">
        <v>1822</v>
      </c>
      <c r="AJ140" s="701" t="s">
        <v>1822</v>
      </c>
      <c r="AK140" s="701" t="s">
        <v>1850</v>
      </c>
      <c r="AL140" s="701" t="s">
        <v>1864</v>
      </c>
      <c r="AM140" s="702"/>
      <c r="AN140" s="699"/>
      <c r="AO140" s="700"/>
      <c r="AP140" s="700" t="s">
        <v>158</v>
      </c>
      <c r="AQ140" s="700" t="s">
        <v>1821</v>
      </c>
      <c r="AR140" s="700" t="s">
        <v>1822</v>
      </c>
      <c r="AS140" s="701" t="s">
        <v>1822</v>
      </c>
      <c r="AT140" s="701" t="s">
        <v>1850</v>
      </c>
      <c r="AU140" s="701" t="s">
        <v>1864</v>
      </c>
      <c r="AV140" s="702"/>
      <c r="AW140" s="699"/>
      <c r="AX140" s="699"/>
      <c r="AY140" s="700" t="s">
        <v>158</v>
      </c>
      <c r="AZ140" s="700" t="s">
        <v>1821</v>
      </c>
      <c r="BA140" s="700" t="s">
        <v>1822</v>
      </c>
      <c r="BB140" s="701" t="s">
        <v>1822</v>
      </c>
      <c r="BC140" s="701" t="s">
        <v>1850</v>
      </c>
      <c r="BD140" s="701" t="s">
        <v>1864</v>
      </c>
      <c r="BE140" s="699"/>
      <c r="BF140" s="700" t="s">
        <v>1831</v>
      </c>
      <c r="BG140" s="699"/>
      <c r="BH140" s="699"/>
      <c r="BI140" s="699"/>
      <c r="BJ140" s="699"/>
      <c r="BK140" s="699"/>
      <c r="BL140" s="700" t="s">
        <v>1832</v>
      </c>
      <c r="BM140" s="699"/>
      <c r="BN140" s="699"/>
      <c r="BO140" s="699"/>
      <c r="BP140" s="699"/>
      <c r="BQ140" s="699"/>
      <c r="BR140" s="700" t="s">
        <v>1833</v>
      </c>
      <c r="BS140" s="699"/>
      <c r="BT140" s="699"/>
      <c r="BU140" s="699"/>
      <c r="BV140" s="699"/>
      <c r="BW140" s="699"/>
      <c r="BX140" s="700" t="s">
        <v>1834</v>
      </c>
      <c r="BY140" s="699"/>
      <c r="BZ140" s="699"/>
      <c r="CA140" s="699"/>
      <c r="CB140" s="699"/>
    </row>
    <row r="141" spans="1:80">
      <c r="A141" s="586" t="s">
        <v>1771</v>
      </c>
      <c r="B141" s="586" t="s">
        <v>1772</v>
      </c>
      <c r="C141" s="664">
        <f ca="1">$C$2*1</f>
        <v>320</v>
      </c>
      <c r="U141" s="699"/>
      <c r="V141" s="700"/>
      <c r="W141" s="700" t="s">
        <v>57</v>
      </c>
      <c r="X141" s="700" t="s">
        <v>1823</v>
      </c>
      <c r="Y141" s="700" t="s">
        <v>1871</v>
      </c>
      <c r="Z141" s="701" t="s">
        <v>1848</v>
      </c>
      <c r="AA141" s="701" t="s">
        <v>1851</v>
      </c>
      <c r="AB141" s="699"/>
      <c r="AC141" s="699"/>
      <c r="AD141" s="706"/>
      <c r="AE141" s="699"/>
      <c r="AF141" s="700"/>
      <c r="AG141" s="700" t="s">
        <v>57</v>
      </c>
      <c r="AH141" s="700" t="s">
        <v>1823</v>
      </c>
      <c r="AI141" s="700" t="s">
        <v>1871</v>
      </c>
      <c r="AJ141" s="701" t="s">
        <v>1848</v>
      </c>
      <c r="AK141" s="701" t="s">
        <v>1851</v>
      </c>
      <c r="AL141" s="699"/>
      <c r="AM141" s="706"/>
      <c r="AN141" s="699"/>
      <c r="AO141" s="700"/>
      <c r="AP141" s="700" t="s">
        <v>57</v>
      </c>
      <c r="AQ141" s="700" t="s">
        <v>1823</v>
      </c>
      <c r="AR141" s="700" t="s">
        <v>1871</v>
      </c>
      <c r="AS141" s="701" t="s">
        <v>1848</v>
      </c>
      <c r="AT141" s="701" t="s">
        <v>1851</v>
      </c>
      <c r="AU141" s="699"/>
      <c r="AV141" s="706"/>
      <c r="AW141" s="699"/>
      <c r="AX141" s="699"/>
      <c r="AY141" s="700" t="s">
        <v>57</v>
      </c>
      <c r="AZ141" s="700" t="s">
        <v>1823</v>
      </c>
      <c r="BA141" s="700" t="s">
        <v>1871</v>
      </c>
      <c r="BB141" s="701" t="s">
        <v>1848</v>
      </c>
      <c r="BC141" s="701" t="s">
        <v>1851</v>
      </c>
      <c r="BD141" s="699"/>
      <c r="BE141" s="699"/>
      <c r="BF141" s="700" t="s">
        <v>1865</v>
      </c>
      <c r="BG141" s="700" t="s">
        <v>1850</v>
      </c>
      <c r="BH141" s="700"/>
      <c r="BI141" s="700" t="s">
        <v>1866</v>
      </c>
      <c r="BJ141" s="700" t="s">
        <v>1867</v>
      </c>
      <c r="BK141" s="699"/>
      <c r="BL141" s="700" t="s">
        <v>1865</v>
      </c>
      <c r="BM141" s="700" t="s">
        <v>1850</v>
      </c>
      <c r="BN141" s="700"/>
      <c r="BO141" s="700" t="s">
        <v>1866</v>
      </c>
      <c r="BP141" s="700" t="s">
        <v>1867</v>
      </c>
      <c r="BQ141" s="699"/>
      <c r="BR141" s="700" t="s">
        <v>1865</v>
      </c>
      <c r="BS141" s="700" t="s">
        <v>1850</v>
      </c>
      <c r="BT141" s="700"/>
      <c r="BU141" s="700" t="s">
        <v>1866</v>
      </c>
      <c r="BV141" s="700" t="s">
        <v>1867</v>
      </c>
      <c r="BW141" s="699"/>
      <c r="BX141" s="700" t="s">
        <v>1865</v>
      </c>
      <c r="BY141" s="700" t="s">
        <v>1850</v>
      </c>
      <c r="BZ141" s="700"/>
      <c r="CA141" s="700" t="s">
        <v>1866</v>
      </c>
      <c r="CB141" s="700" t="s">
        <v>1867</v>
      </c>
    </row>
    <row r="142" spans="1:80">
      <c r="A142" s="586">
        <f ca="1">MIN(VLOOKUP(C141,C142:E146,2,FALSE),A154)</f>
        <v>0.7</v>
      </c>
      <c r="B142" s="586">
        <f ca="1">VLOOKUP(C141,C142:E146,3,FALSE)</f>
        <v>8000</v>
      </c>
      <c r="C142" s="665">
        <v>75</v>
      </c>
      <c r="D142" s="666">
        <f ca="1">IF(VLOOKUP($A$2,Motor!$A$9:$U$1280,6,FALSE)=0,A78,VLOOKUP($A$2,Motor!$A$9:$U$1280,6,FALSE))</f>
        <v>0.85</v>
      </c>
      <c r="E142" s="666">
        <f ca="1">IF(VLOOKUP($A$2,Motor!$A$9:$U$1280,7,FALSE)=0,B78,VLOOKUP($A$2,Motor!$A$9:$U$1280,7,FALSE))</f>
        <v>1000</v>
      </c>
      <c r="U142" s="700" t="s">
        <v>12</v>
      </c>
      <c r="V142" s="700" t="s">
        <v>1824</v>
      </c>
      <c r="W142" s="700" t="s">
        <v>1824</v>
      </c>
      <c r="X142" s="700" t="s">
        <v>1825</v>
      </c>
      <c r="Y142" s="700" t="s">
        <v>7</v>
      </c>
      <c r="Z142" s="701" t="s">
        <v>7</v>
      </c>
      <c r="AA142" s="701" t="s">
        <v>7</v>
      </c>
      <c r="AB142" s="699"/>
      <c r="AC142" s="699"/>
      <c r="AD142" s="706"/>
      <c r="AE142" s="700" t="s">
        <v>12</v>
      </c>
      <c r="AF142" s="700" t="s">
        <v>1824</v>
      </c>
      <c r="AG142" s="700" t="s">
        <v>1824</v>
      </c>
      <c r="AH142" s="700" t="s">
        <v>1825</v>
      </c>
      <c r="AI142" s="700" t="s">
        <v>7</v>
      </c>
      <c r="AJ142" s="701" t="s">
        <v>7</v>
      </c>
      <c r="AK142" s="701" t="s">
        <v>7</v>
      </c>
      <c r="AL142" s="699"/>
      <c r="AM142" s="706"/>
      <c r="AN142" s="700" t="s">
        <v>12</v>
      </c>
      <c r="AO142" s="700" t="s">
        <v>1824</v>
      </c>
      <c r="AP142" s="700" t="s">
        <v>1824</v>
      </c>
      <c r="AQ142" s="700" t="s">
        <v>1825</v>
      </c>
      <c r="AR142" s="700" t="s">
        <v>7</v>
      </c>
      <c r="AS142" s="701" t="s">
        <v>7</v>
      </c>
      <c r="AT142" s="701" t="s">
        <v>7</v>
      </c>
      <c r="AU142" s="699"/>
      <c r="AV142" s="706"/>
      <c r="AW142" s="700" t="s">
        <v>12</v>
      </c>
      <c r="AX142" s="700" t="s">
        <v>1824</v>
      </c>
      <c r="AY142" s="700" t="s">
        <v>1824</v>
      </c>
      <c r="AZ142" s="700" t="s">
        <v>1825</v>
      </c>
      <c r="BA142" s="700" t="s">
        <v>7</v>
      </c>
      <c r="BB142" s="701" t="s">
        <v>7</v>
      </c>
      <c r="BC142" s="701" t="s">
        <v>7</v>
      </c>
      <c r="BD142" s="699"/>
      <c r="BE142" s="699"/>
      <c r="BF142" s="700" t="s">
        <v>7</v>
      </c>
      <c r="BG142" s="700" t="s">
        <v>1868</v>
      </c>
      <c r="BH142" s="700" t="s">
        <v>12</v>
      </c>
      <c r="BI142" s="700" t="s">
        <v>7</v>
      </c>
      <c r="BJ142" s="700" t="s">
        <v>6</v>
      </c>
      <c r="BK142" s="699"/>
      <c r="BL142" s="700" t="s">
        <v>7</v>
      </c>
      <c r="BM142" s="700" t="s">
        <v>1868</v>
      </c>
      <c r="BN142" s="700" t="s">
        <v>12</v>
      </c>
      <c r="BO142" s="700" t="s">
        <v>7</v>
      </c>
      <c r="BP142" s="700" t="s">
        <v>6</v>
      </c>
      <c r="BQ142" s="699"/>
      <c r="BR142" s="700" t="s">
        <v>7</v>
      </c>
      <c r="BS142" s="700" t="s">
        <v>1868</v>
      </c>
      <c r="BT142" s="700" t="s">
        <v>12</v>
      </c>
      <c r="BU142" s="700" t="s">
        <v>7</v>
      </c>
      <c r="BV142" s="700" t="s">
        <v>6</v>
      </c>
      <c r="BW142" s="699"/>
      <c r="BX142" s="700" t="s">
        <v>7</v>
      </c>
      <c r="BY142" s="700" t="s">
        <v>1868</v>
      </c>
      <c r="BZ142" s="700" t="s">
        <v>12</v>
      </c>
      <c r="CA142" s="700" t="s">
        <v>7</v>
      </c>
      <c r="CB142" s="700" t="s">
        <v>6</v>
      </c>
    </row>
    <row r="143" spans="1:80">
      <c r="C143" s="665">
        <v>160</v>
      </c>
      <c r="D143" s="666">
        <f ca="1">IF(VLOOKUP($A$2,Motor!$A$9:$U$1280,8,FALSE)=0,D142,VLOOKUP($A$2,Motor!$A$9:$U$1280,8,FALSE))</f>
        <v>0.81</v>
      </c>
      <c r="E143" s="666">
        <f ca="1">IF(VLOOKUP($A$2,Motor!$A$9:$U$1280,9,FALSE)=0,E142,VLOOKUP($A$2,Motor!$A$9:$U$1280,9,FALSE))</f>
        <v>3500</v>
      </c>
      <c r="L143" s="620" t="s">
        <v>1831</v>
      </c>
      <c r="M143" s="620" t="s">
        <v>87</v>
      </c>
      <c r="U143" s="699">
        <f>B86/60*$P$89</f>
        <v>0</v>
      </c>
      <c r="V143" s="699">
        <f>B86</f>
        <v>0</v>
      </c>
      <c r="W143" s="704">
        <f>V143/$O$89*$Q$89*2+$Q$89</f>
        <v>0.18</v>
      </c>
      <c r="X143" s="704">
        <f t="shared" ref="X143:X193" si="54">$T$99*$P$89/2000/PI()/0.8+W143</f>
        <v>0.18</v>
      </c>
      <c r="Y143" s="704">
        <f ca="1">IF(X143/0.9&lt;=A86,X143/0.9,"")</f>
        <v>0.19999999999999998</v>
      </c>
      <c r="Z143" s="704">
        <f>IF(Data!$E$83=1,Data!$L$117+Data!$F$59+X143/Data!$L$116/Data!$E$59/Data!$L$115,Data!$E$90+Data!$F$59+X143/Data!$G$90/Data!$E$59/Data!$D$90)</f>
        <v>0.19999999999999998</v>
      </c>
      <c r="AA143" s="699">
        <f ca="1">A86</f>
        <v>0.87</v>
      </c>
      <c r="AB143" s="699">
        <f ca="1">IF(Data!$C$59=1,TRUNC(($A86*0.9-W143)/$P$89*2000*PI()*0.8,0),IF(Data!$C$59=2,TRUNC(($A86*0.8-(W143+0.1))/$P$89*2000*PI()*0.8,0),""))</f>
        <v>303</v>
      </c>
      <c r="AC143" s="699"/>
      <c r="AD143" s="706"/>
      <c r="AE143" s="699">
        <f>B86/60*$P$88</f>
        <v>0</v>
      </c>
      <c r="AF143" s="699">
        <f>B86</f>
        <v>0</v>
      </c>
      <c r="AG143" s="704">
        <f>AF143/$O$88*$Q$88*2+$Q$88</f>
        <v>7.0000000000000007E-2</v>
      </c>
      <c r="AH143" s="704">
        <f t="shared" ref="AH143:AH193" si="55">$T$99*$P$88/2000/PI()/0.8+AG143</f>
        <v>7.0000000000000007E-2</v>
      </c>
      <c r="AI143" s="704">
        <f ca="1">IF(AH143/0.9&lt;=A86,AH143/0.9,"")</f>
        <v>7.7777777777777779E-2</v>
      </c>
      <c r="AJ143" s="704">
        <f>IF(Data!$E$83=1,Data!$L$117+Data!$F$59+AH143/Data!$L$116/Data!$E$59/Data!$L$115,Data!$E$90+Data!$F$59+AH143/Data!$G$90/Data!$E$59/Data!$D$90)</f>
        <v>7.7777777777777779E-2</v>
      </c>
      <c r="AK143" s="699">
        <f ca="1">A86</f>
        <v>0.87</v>
      </c>
      <c r="AL143" s="699">
        <f ca="1">IF(Data!$C$59=1,TRUNC(($A86*0.9-AG143)/$P$88*2000*PI()*0.8,0),IF(Data!$C$59=2,TRUNC(($A86*0.8-(AG143+0.1))/$P$88*2000*PI()*0.8,0),""))</f>
        <v>895</v>
      </c>
      <c r="AM143" s="706"/>
      <c r="AN143" s="699">
        <f>B86/60*$P$87</f>
        <v>0</v>
      </c>
      <c r="AO143" s="699">
        <f>B86</f>
        <v>0</v>
      </c>
      <c r="AP143" s="704">
        <f>AO143/$O$87*$Q$87*2+$Q$87</f>
        <v>0.15</v>
      </c>
      <c r="AQ143" s="704">
        <f t="shared" ref="AQ143:AQ193" si="56">$T$99*$P$87/2000/PI()/0.8+AP143</f>
        <v>0.15</v>
      </c>
      <c r="AR143" s="704">
        <f ca="1">IF(AQ143/0.9&lt;=A86,AQ143/0.9,"")</f>
        <v>0.16666666666666666</v>
      </c>
      <c r="AS143" s="704">
        <f>IF(Data!$E$83=1,Data!$L$117+Data!$F$59+AQ143/Data!$L$116/Data!$E$59/Data!$L$115,Data!$E$90+Data!$F$59+AQ143/Data!$G$90/Data!$E$59/Data!$D$90)</f>
        <v>0.16666666666666666</v>
      </c>
      <c r="AT143" s="704">
        <f ca="1">A86</f>
        <v>0.87</v>
      </c>
      <c r="AU143" s="699">
        <f ca="1">IF(Data!$C$59=1,TRUNC(($A86*0.9-AP143)/$P$87*2000*PI()*0.8,0),IF(Data!$C$59=2,TRUNC(($A86*0.8-(AP143+0.1))/$P$87*2000*PI()*0.8,0),""))</f>
        <v>318</v>
      </c>
      <c r="AV143" s="706"/>
      <c r="AW143" s="699">
        <f t="shared" ref="AW143:AW193" si="57">B86/60*$P$86</f>
        <v>0</v>
      </c>
      <c r="AX143" s="699">
        <f t="shared" ref="AX143:AX193" si="58">B86</f>
        <v>0</v>
      </c>
      <c r="AY143" s="704">
        <f>AX143/$O$86*$Q$86*2+$Q$86</f>
        <v>0.05</v>
      </c>
      <c r="AZ143" s="704">
        <f t="shared" ref="AZ143:AZ193" si="59">$T$99*$P$86/2000/PI()/0.8+AY143</f>
        <v>0.05</v>
      </c>
      <c r="BA143" s="704">
        <f ca="1">IF(AZ143/0.9&lt;=A86,AZ143/0.9,"")</f>
        <v>5.5555555555555559E-2</v>
      </c>
      <c r="BB143" s="704">
        <f>IF(Data!$E$83=1,Data!$L$117+Data!$F$59+AZ143/Data!$L$116/Data!$E$59/Data!$L$115,Data!$E$90+Data!$F$59+AZ143/Data!$G$90/Data!$E$59/Data!$D$90)</f>
        <v>5.5555555555555559E-2</v>
      </c>
      <c r="BC143" s="699">
        <f ca="1">A86</f>
        <v>0.87</v>
      </c>
      <c r="BD143" s="699">
        <f ca="1">IF(Data!$C$59=1,TRUNC(($A86*0.9-AY143)/$P$86*2000*PI()*0.8,0),IF(Data!$C$59=2,TRUNC(($A86*0.8-(AY143+0.1))/$P$86*2000*PI()*0.8,0),""))</f>
        <v>1228</v>
      </c>
      <c r="BE143" s="699"/>
      <c r="BF143" s="704">
        <f ca="1">$A20</f>
        <v>2.7600000000000002</v>
      </c>
      <c r="BG143" s="699">
        <f>$B20</f>
        <v>0</v>
      </c>
      <c r="BH143" s="699">
        <f>BG143/60*$P$89</f>
        <v>0</v>
      </c>
      <c r="BI143" s="699">
        <f>BG143/$O$89*$Q$89*2+$Q$89</f>
        <v>0.18</v>
      </c>
      <c r="BJ143" s="699">
        <f ca="1">IF(Data!$C$59=1,TRUNC(($A20*0.9-BI143)/$P$89*2000*PI()*0.8,0),IF(Data!$C$59=2,TRUNC(($A20*0.8-(BI143+0.1))/$P$89*2000*PI()*0.8,0),""))</f>
        <v>1158</v>
      </c>
      <c r="BK143" s="699"/>
      <c r="BL143" s="704">
        <f ca="1">$A20</f>
        <v>2.7600000000000002</v>
      </c>
      <c r="BM143" s="699">
        <f>$B20</f>
        <v>0</v>
      </c>
      <c r="BN143" s="699">
        <f>BM143/60*$P$88</f>
        <v>0</v>
      </c>
      <c r="BO143" s="699">
        <f>BM143/$O$88*$Q$88*2+$Q$88</f>
        <v>7.0000000000000007E-2</v>
      </c>
      <c r="BP143" s="699">
        <f ca="1">IF(Data!$C$59=1,TRUNC(($A20*0.9-BO143)/$P$88*2000*PI()*0.8,0),IF(Data!$C$59=2,TRUNC(($A20*0.8-(BO143+0.1))/$P$88*2000*PI()*0.8,0),""))</f>
        <v>3033</v>
      </c>
      <c r="BQ143" s="699"/>
      <c r="BR143" s="704">
        <f ca="1">$A20</f>
        <v>2.7600000000000002</v>
      </c>
      <c r="BS143" s="699">
        <f>$B20</f>
        <v>0</v>
      </c>
      <c r="BT143" s="699">
        <f>BS143/60*$P$87</f>
        <v>0</v>
      </c>
      <c r="BU143" s="699">
        <f>BS143/$O$87*$Q$87*2+$Q$87</f>
        <v>0.15</v>
      </c>
      <c r="BV143" s="699">
        <f ca="1">IF(Data!$C$59=1,TRUNC(($A20*0.9-BU143)/$P$87*2000*PI()*0.8,0),IF(Data!$C$59=2,TRUNC(($A20*0.8-(BU143+0.1))/$P$87*2000*PI()*0.8,0),""))</f>
        <v>1173</v>
      </c>
      <c r="BW143" s="699"/>
      <c r="BX143" s="704">
        <f ca="1">$A20</f>
        <v>2.7600000000000002</v>
      </c>
      <c r="BY143" s="699">
        <f>$B20</f>
        <v>0</v>
      </c>
      <c r="BZ143" s="699">
        <f>BY143/60*$P$86</f>
        <v>0</v>
      </c>
      <c r="CA143" s="699">
        <f>BY143/$O$86*$Q$86*2+$Q$86</f>
        <v>0.05</v>
      </c>
      <c r="CB143" s="699">
        <f ca="1">IF(Data!$C$59=1,TRUNC(($A20*0.9-CA143)/$P$86*2000*PI()*0.8,0),IF(Data!$C$59=2,TRUNC(($A20*0.8-(CA143+0.1))/$P$86*2000*PI()*0.8,0),""))</f>
        <v>4078</v>
      </c>
    </row>
    <row r="144" spans="1:80">
      <c r="C144" s="665">
        <v>320</v>
      </c>
      <c r="D144" s="666">
        <f ca="1">IF(VLOOKUP($A$2,Motor!$A$9:$U$1280,10,FALSE)=0,D143,VLOOKUP($A$2,Motor!$A$9:$U$1280,10,FALSE))</f>
        <v>0.7</v>
      </c>
      <c r="E144" s="666">
        <f ca="1">IF(VLOOKUP($A$2,Motor!$A$9:$U$1280,11,FALSE)=0,E143,VLOOKUP($A$2,Motor!$A$9:$U$1280,11,FALSE))</f>
        <v>8000</v>
      </c>
      <c r="L144" s="652" t="s">
        <v>12</v>
      </c>
      <c r="M144" s="652" t="s">
        <v>1830</v>
      </c>
      <c r="U144" s="707">
        <f t="shared" ref="U144:U193" ca="1" si="60">B87/60*$P$89</f>
        <v>26.666666666666664</v>
      </c>
      <c r="V144" s="707">
        <f t="shared" ref="V144:V193" ca="1" si="61">B87</f>
        <v>160</v>
      </c>
      <c r="W144" s="704">
        <f t="shared" ref="W144:W193" ca="1" si="62">V144/$O$89*$Q$89*2+$Q$89</f>
        <v>0.18959999999999999</v>
      </c>
      <c r="X144" s="704">
        <f t="shared" ca="1" si="54"/>
        <v>0.18959999999999999</v>
      </c>
      <c r="Y144" s="704">
        <f t="shared" ref="Y144:Y193" ca="1" si="63">IF(X144/0.9&lt;=A87,X144/0.9,"")</f>
        <v>0.21066666666666664</v>
      </c>
      <c r="Z144" s="704">
        <f ca="1">IF(Data!$E$83=1,Data!$L$117+Data!$F$59+X144/Data!$L$116/Data!$E$59/Data!$L$115,Data!$E$90+Data!$F$59+X144/Data!$G$90/Data!$E$59/Data!$D$90)</f>
        <v>0.21066666666666664</v>
      </c>
      <c r="AA144" s="704">
        <f t="shared" ref="AA144:AA193" ca="1" si="64">A87</f>
        <v>0.86680000000000001</v>
      </c>
      <c r="AB144" s="699">
        <f ca="1">IF(Data!$C$59=1,TRUNC(($A87*0.9-W144)/$P$89*2000*PI()*0.8,0),IF(Data!$C$59=2,TRUNC(($A87*0.8-(W144+0.1))/$P$89*2000*PI()*0.8,0),""))</f>
        <v>296</v>
      </c>
      <c r="AC144" s="699"/>
      <c r="AD144" s="706"/>
      <c r="AE144" s="707">
        <f t="shared" ref="AE144:AE193" ca="1" si="65">B87/60*$P$88</f>
        <v>10.666666666666666</v>
      </c>
      <c r="AF144" s="707">
        <f t="shared" ref="AF144:AF193" ca="1" si="66">B87</f>
        <v>160</v>
      </c>
      <c r="AG144" s="704">
        <f t="shared" ref="AG144:AG193" ca="1" si="67">AF144/$O$88*$Q$88*2+$Q$88</f>
        <v>7.3733333333333345E-2</v>
      </c>
      <c r="AH144" s="704">
        <f t="shared" ca="1" si="55"/>
        <v>7.3733333333333345E-2</v>
      </c>
      <c r="AI144" s="704">
        <f t="shared" ref="AI144:AI193" ca="1" si="68">IF(AH144/0.9&lt;=A87,AH144/0.9,"")</f>
        <v>8.1925925925925944E-2</v>
      </c>
      <c r="AJ144" s="704">
        <f ca="1">IF(Data!$E$83=1,Data!$L$117+Data!$F$59+AH144/Data!$L$116/Data!$E$59/Data!$L$115,Data!$E$90+Data!$F$59+AH144/Data!$G$90/Data!$E$59/Data!$D$90)</f>
        <v>8.1925925925925944E-2</v>
      </c>
      <c r="AK144" s="704">
        <f t="shared" ref="AK144:AK193" ca="1" si="69">A87</f>
        <v>0.86680000000000001</v>
      </c>
      <c r="AL144" s="699">
        <f ca="1">IF(Data!$C$59=1,TRUNC(($A87*0.9-AG144)/$P$88*2000*PI()*0.8,0),IF(Data!$C$59=2,TRUNC(($A87*0.8-(AG144+0.1))/$P$88*2000*PI()*0.8,0),""))</f>
        <v>887</v>
      </c>
      <c r="AM144" s="706"/>
      <c r="AN144" s="707">
        <f t="shared" ref="AN144:AN193" ca="1" si="70">B87/60*$P$87</f>
        <v>26.666666666666664</v>
      </c>
      <c r="AO144" s="707">
        <f t="shared" ref="AO144:AO193" ca="1" si="71">B87</f>
        <v>160</v>
      </c>
      <c r="AP144" s="704">
        <f t="shared" ref="AP144:AP193" ca="1" si="72">AO144/$O$87*$Q$87*2+$Q$87</f>
        <v>0.156</v>
      </c>
      <c r="AQ144" s="704">
        <f t="shared" ca="1" si="56"/>
        <v>0.156</v>
      </c>
      <c r="AR144" s="704">
        <f t="shared" ref="AR144:AR193" ca="1" si="73">IF(AQ144/0.9&lt;=A87,AQ144/0.9,"")</f>
        <v>0.17333333333333334</v>
      </c>
      <c r="AS144" s="704">
        <f ca="1">IF(Data!$E$83=1,Data!$L$117+Data!$F$59+AQ144/Data!$L$116/Data!$E$59/Data!$L$115,Data!$E$90+Data!$F$59+AQ144/Data!$G$90/Data!$E$59/Data!$D$90)</f>
        <v>0.17333333333333334</v>
      </c>
      <c r="AT144" s="704">
        <f t="shared" ref="AT144:AT193" ca="1" si="74">A87</f>
        <v>0.86680000000000001</v>
      </c>
      <c r="AU144" s="699">
        <f ca="1">IF(Data!$C$59=1,TRUNC(($A87*0.9-AP144)/$P$87*2000*PI()*0.8,0),IF(Data!$C$59=2,TRUNC(($A87*0.8-(AP144+0.1))/$P$87*2000*PI()*0.8,0),""))</f>
        <v>313</v>
      </c>
      <c r="AV144" s="706"/>
      <c r="AW144" s="707">
        <f t="shared" ca="1" si="57"/>
        <v>8</v>
      </c>
      <c r="AX144" s="707">
        <f t="shared" ca="1" si="58"/>
        <v>160</v>
      </c>
      <c r="AY144" s="704">
        <f t="shared" ref="AY144:AY193" ca="1" si="75">AX144/$O$86*$Q$86*2+$Q$86</f>
        <v>5.2000000000000005E-2</v>
      </c>
      <c r="AZ144" s="704">
        <f t="shared" ca="1" si="59"/>
        <v>5.2000000000000005E-2</v>
      </c>
      <c r="BA144" s="704">
        <f t="shared" ref="BA144:BA193" ca="1" si="76">IF(AZ144/0.9&lt;=A87,AZ144/0.9,"")</f>
        <v>5.7777777777777782E-2</v>
      </c>
      <c r="BB144" s="704">
        <f ca="1">IF(Data!$E$83=1,Data!$L$117+Data!$F$59+AZ144/Data!$L$116/Data!$E$59/Data!$L$115,Data!$E$90+Data!$F$59+AZ144/Data!$G$90/Data!$E$59/Data!$D$90)</f>
        <v>5.7777777777777782E-2</v>
      </c>
      <c r="BC144" s="704">
        <f t="shared" ref="BC144:BC193" ca="1" si="77">A87</f>
        <v>0.86680000000000001</v>
      </c>
      <c r="BD144" s="699">
        <f ca="1">IF(Data!$C$59=1,TRUNC(($A87*0.9-AY144)/$P$86*2000*PI()*0.8,0),IF(Data!$C$59=2,TRUNC(($A87*0.8-(AY144+0.1))/$P$86*2000*PI()*0.8,0),""))</f>
        <v>1219</v>
      </c>
      <c r="BE144" s="699"/>
      <c r="BF144" s="704">
        <f t="shared" ref="BF144:BF194" ca="1" si="78">$A21</f>
        <v>2.7600000000000002</v>
      </c>
      <c r="BG144" s="707">
        <f t="shared" ref="BG144:BG194" ca="1" si="79">$B21</f>
        <v>5148.3999999999996</v>
      </c>
      <c r="BH144" s="707">
        <f t="shared" ref="BH144:BH194" ca="1" si="80">BG144/60*$P$89</f>
        <v>858.06666666666661</v>
      </c>
      <c r="BI144" s="699">
        <f t="shared" ref="BI144:BI194" ca="1" si="81">BG144/$O$89*$Q$89*2+$Q$89</f>
        <v>0.48890399999999995</v>
      </c>
      <c r="BJ144" s="699">
        <f ca="1">IF(Data!$C$59=1,TRUNC(($A21*0.9-BI144)/$P$89*2000*PI()*0.8,0),IF(Data!$C$59=2,TRUNC(($A21*0.8-(BI144+0.1))/$P$89*2000*PI()*0.8,0),""))</f>
        <v>1002</v>
      </c>
      <c r="BK144" s="699"/>
      <c r="BL144" s="704">
        <f t="shared" ref="BL144:BL194" ca="1" si="82">$A21</f>
        <v>2.7600000000000002</v>
      </c>
      <c r="BM144" s="707">
        <f t="shared" ref="BM144:BM194" ca="1" si="83">$B21</f>
        <v>5148.3999999999996</v>
      </c>
      <c r="BN144" s="707">
        <f t="shared" ref="BN144:BN194" ca="1" si="84">BM144/60*$P$88</f>
        <v>343.22666666666663</v>
      </c>
      <c r="BO144" s="699">
        <f t="shared" ref="BO144:BO194" ca="1" si="85">BM144/$O$88*$Q$88*2+$Q$88</f>
        <v>0.19012933333333334</v>
      </c>
      <c r="BP144" s="699">
        <f ca="1">IF(Data!$C$59=1,TRUNC(($A21*0.9-BO144)/$P$88*2000*PI()*0.8,0),IF(Data!$C$59=2,TRUNC(($A21*0.8-(BO144+0.1))/$P$88*2000*PI()*0.8,0),""))</f>
        <v>2882</v>
      </c>
      <c r="BQ144" s="699"/>
      <c r="BR144" s="704">
        <f t="shared" ref="BR144:BR194" ca="1" si="86">$A21</f>
        <v>2.7600000000000002</v>
      </c>
      <c r="BS144" s="707">
        <f t="shared" ref="BS144:BS194" ca="1" si="87">$B21</f>
        <v>5148.3999999999996</v>
      </c>
      <c r="BT144" s="707">
        <f t="shared" ref="BT144:BT194" ca="1" si="88">BS144/60*$P$87</f>
        <v>858.06666666666661</v>
      </c>
      <c r="BU144" s="699">
        <f t="shared" ref="BU144:BU194" ca="1" si="89">BS144/$O$87*$Q$87*2+$Q$87</f>
        <v>0.34306499999999995</v>
      </c>
      <c r="BV144" s="699">
        <f ca="1">IF(Data!$C$59=1,TRUNC(($A21*0.9-BU144)/$P$87*2000*PI()*0.8,0),IF(Data!$C$59=2,TRUNC(($A21*0.8-(BU144+0.1))/$P$87*2000*PI()*0.8,0),""))</f>
        <v>1076</v>
      </c>
      <c r="BW144" s="699"/>
      <c r="BX144" s="704">
        <f t="shared" ref="BX144:BX194" ca="1" si="90">$A21</f>
        <v>2.7600000000000002</v>
      </c>
      <c r="BY144" s="707">
        <f t="shared" ref="BY144:BY194" ca="1" si="91">$B21</f>
        <v>5148.3999999999996</v>
      </c>
      <c r="BZ144" s="707">
        <f t="shared" ref="BZ144:BZ194" ca="1" si="92">BY144/60*$P$86</f>
        <v>257.41999999999996</v>
      </c>
      <c r="CA144" s="699">
        <f t="shared" ref="CA144:CA194" ca="1" si="93">BY144/$O$86*$Q$86*2+$Q$86</f>
        <v>0.114355</v>
      </c>
      <c r="CB144" s="699">
        <f ca="1">IF(Data!$C$59=1,TRUNC(($A21*0.9-CA144)/$P$86*2000*PI()*0.8,0),IF(Data!$C$59=2,TRUNC(($A21*0.8-(CA144+0.1))/$P$86*2000*PI()*0.8,0),""))</f>
        <v>3970</v>
      </c>
    </row>
    <row r="145" spans="1:80">
      <c r="C145" s="665">
        <v>560</v>
      </c>
      <c r="D145" s="666">
        <f ca="1">IF(VLOOKUP($A$2,Motor!$A$9:$U$1280,12,FALSE)=0,D144,VLOOKUP($A$2,Motor!$A$9:$U$1280,12,FALSE))</f>
        <v>0.7</v>
      </c>
      <c r="E145" s="666">
        <f ca="1">IF(VLOOKUP($A$2,Motor!$A$9:$U$1280,13,FALSE)=0,E144,VLOOKUP($A$2,Motor!$A$9:$U$1280,13,FALSE))</f>
        <v>8000</v>
      </c>
      <c r="L145" s="620">
        <v>1000</v>
      </c>
      <c r="M145" s="620">
        <v>0</v>
      </c>
      <c r="U145" s="707">
        <f t="shared" ca="1" si="60"/>
        <v>53.333333333333329</v>
      </c>
      <c r="V145" s="707">
        <f t="shared" ca="1" si="61"/>
        <v>320</v>
      </c>
      <c r="W145" s="704">
        <f t="shared" ca="1" si="62"/>
        <v>0.19919999999999999</v>
      </c>
      <c r="X145" s="704">
        <f t="shared" ca="1" si="54"/>
        <v>0.19919999999999999</v>
      </c>
      <c r="Y145" s="704">
        <f t="shared" ca="1" si="63"/>
        <v>0.22133333333333333</v>
      </c>
      <c r="Z145" s="704">
        <f ca="1">IF(Data!$E$83=1,Data!$L$117+Data!$F$59+X145/Data!$L$116/Data!$E$59/Data!$L$115,Data!$E$90+Data!$F$59+X145/Data!$G$90/Data!$E$59/Data!$D$90)</f>
        <v>0.22133333333333333</v>
      </c>
      <c r="AA145" s="704">
        <f t="shared" ca="1" si="64"/>
        <v>0.86360000000000003</v>
      </c>
      <c r="AB145" s="699">
        <f ca="1">IF(Data!$C$59=1,TRUNC(($A88*0.9-W145)/$P$89*2000*PI()*0.8,0),IF(Data!$C$59=2,TRUNC(($A88*0.8-(W145+0.1))/$P$89*2000*PI()*0.8,0),""))</f>
        <v>290</v>
      </c>
      <c r="AC145" s="699"/>
      <c r="AD145" s="706"/>
      <c r="AE145" s="707">
        <f t="shared" ca="1" si="65"/>
        <v>21.333333333333332</v>
      </c>
      <c r="AF145" s="707">
        <f t="shared" ca="1" si="66"/>
        <v>320</v>
      </c>
      <c r="AG145" s="704">
        <f t="shared" ca="1" si="67"/>
        <v>7.746666666666667E-2</v>
      </c>
      <c r="AH145" s="704">
        <f t="shared" ca="1" si="55"/>
        <v>7.746666666666667E-2</v>
      </c>
      <c r="AI145" s="704">
        <f t="shared" ca="1" si="68"/>
        <v>8.6074074074074081E-2</v>
      </c>
      <c r="AJ145" s="704">
        <f ca="1">IF(Data!$E$83=1,Data!$L$117+Data!$F$59+AH145/Data!$L$116/Data!$E$59/Data!$L$115,Data!$E$90+Data!$F$59+AH145/Data!$G$90/Data!$E$59/Data!$D$90)</f>
        <v>8.6074074074074081E-2</v>
      </c>
      <c r="AK145" s="704">
        <f t="shared" ca="1" si="69"/>
        <v>0.86360000000000003</v>
      </c>
      <c r="AL145" s="699">
        <f ca="1">IF(Data!$C$59=1,TRUNC(($A88*0.9-AG145)/$P$88*2000*PI()*0.8,0),IF(Data!$C$59=2,TRUNC(($A88*0.8-(AG145+0.1))/$P$88*2000*PI()*0.8,0),""))</f>
        <v>879</v>
      </c>
      <c r="AM145" s="706"/>
      <c r="AN145" s="707">
        <f t="shared" ca="1" si="70"/>
        <v>53.333333333333329</v>
      </c>
      <c r="AO145" s="707">
        <f t="shared" ca="1" si="71"/>
        <v>320</v>
      </c>
      <c r="AP145" s="704">
        <f t="shared" ca="1" si="72"/>
        <v>0.16200000000000001</v>
      </c>
      <c r="AQ145" s="704">
        <f t="shared" ca="1" si="56"/>
        <v>0.16200000000000001</v>
      </c>
      <c r="AR145" s="704">
        <f t="shared" ca="1" si="73"/>
        <v>0.18</v>
      </c>
      <c r="AS145" s="704">
        <f ca="1">IF(Data!$E$83=1,Data!$L$117+Data!$F$59+AQ145/Data!$L$116/Data!$E$59/Data!$L$115,Data!$E$90+Data!$F$59+AQ145/Data!$G$90/Data!$E$59/Data!$D$90)</f>
        <v>0.18</v>
      </c>
      <c r="AT145" s="704">
        <f t="shared" ca="1" si="74"/>
        <v>0.86360000000000003</v>
      </c>
      <c r="AU145" s="699">
        <f ca="1">IF(Data!$C$59=1,TRUNC(($A88*0.9-AP145)/$P$87*2000*PI()*0.8,0),IF(Data!$C$59=2,TRUNC(($A88*0.8-(AP145+0.1))/$P$87*2000*PI()*0.8,0),""))</f>
        <v>309</v>
      </c>
      <c r="AV145" s="706"/>
      <c r="AW145" s="707">
        <f t="shared" ca="1" si="57"/>
        <v>16</v>
      </c>
      <c r="AX145" s="707">
        <f t="shared" ca="1" si="58"/>
        <v>320</v>
      </c>
      <c r="AY145" s="704">
        <f t="shared" ca="1" si="75"/>
        <v>5.4000000000000006E-2</v>
      </c>
      <c r="AZ145" s="704">
        <f t="shared" ca="1" si="59"/>
        <v>5.4000000000000006E-2</v>
      </c>
      <c r="BA145" s="704">
        <f t="shared" ca="1" si="76"/>
        <v>6.0000000000000005E-2</v>
      </c>
      <c r="BB145" s="704">
        <f ca="1">IF(Data!$E$83=1,Data!$L$117+Data!$F$59+AZ145/Data!$L$116/Data!$E$59/Data!$L$115,Data!$E$90+Data!$F$59+AZ145/Data!$G$90/Data!$E$59/Data!$D$90)</f>
        <v>6.0000000000000005E-2</v>
      </c>
      <c r="BC145" s="704">
        <f t="shared" ca="1" si="77"/>
        <v>0.86360000000000003</v>
      </c>
      <c r="BD145" s="699">
        <f ca="1">IF(Data!$C$59=1,TRUNC(($A88*0.9-AY145)/$P$86*2000*PI()*0.8,0),IF(Data!$C$59=2,TRUNC(($A88*0.8-(AY145+0.1))/$P$86*2000*PI()*0.8,0),""))</f>
        <v>1211</v>
      </c>
      <c r="BE145" s="699"/>
      <c r="BF145" s="704">
        <f t="shared" ca="1" si="78"/>
        <v>2.7194116923076921</v>
      </c>
      <c r="BG145" s="707">
        <f t="shared" ca="1" si="79"/>
        <v>5224.8</v>
      </c>
      <c r="BH145" s="707">
        <f t="shared" ca="1" si="80"/>
        <v>870.8</v>
      </c>
      <c r="BI145" s="699">
        <f t="shared" ca="1" si="81"/>
        <v>0.49348799999999998</v>
      </c>
      <c r="BJ145" s="699">
        <f ca="1">IF(Data!$C$59=1,TRUNC(($A22*0.9-BI145)/$P$89*2000*PI()*0.8,0),IF(Data!$C$59=2,TRUNC(($A22*0.8-(BI145+0.1))/$P$89*2000*PI()*0.8,0),""))</f>
        <v>982</v>
      </c>
      <c r="BK145" s="699"/>
      <c r="BL145" s="704">
        <f t="shared" ca="1" si="82"/>
        <v>2.7194116923076921</v>
      </c>
      <c r="BM145" s="707">
        <f t="shared" ca="1" si="83"/>
        <v>5224.8</v>
      </c>
      <c r="BN145" s="707">
        <f t="shared" ca="1" si="84"/>
        <v>348.32</v>
      </c>
      <c r="BO145" s="699">
        <f t="shared" ca="1" si="85"/>
        <v>0.19191200000000003</v>
      </c>
      <c r="BP145" s="699">
        <f ca="1">IF(Data!$C$59=1,TRUNC(($A22*0.9-BO145)/$P$88*2000*PI()*0.8,0),IF(Data!$C$59=2,TRUNC(($A22*0.8-(BO145+0.1))/$P$88*2000*PI()*0.8,0),""))</f>
        <v>2834</v>
      </c>
      <c r="BQ145" s="699"/>
      <c r="BR145" s="704">
        <f t="shared" ca="1" si="86"/>
        <v>2.7194116923076921</v>
      </c>
      <c r="BS145" s="707">
        <f t="shared" ca="1" si="87"/>
        <v>5224.8</v>
      </c>
      <c r="BT145" s="707">
        <f t="shared" ca="1" si="88"/>
        <v>870.8</v>
      </c>
      <c r="BU145" s="699">
        <f t="shared" ca="1" si="89"/>
        <v>0.34592999999999996</v>
      </c>
      <c r="BV145" s="699">
        <f ca="1">IF(Data!$C$59=1,TRUNC(($A22*0.9-BU145)/$P$87*2000*PI()*0.8,0),IF(Data!$C$59=2,TRUNC(($A22*0.8-(BU145+0.1))/$P$87*2000*PI()*0.8,0),""))</f>
        <v>1056</v>
      </c>
      <c r="BW145" s="699"/>
      <c r="BX145" s="704">
        <f t="shared" ca="1" si="90"/>
        <v>2.7194116923076921</v>
      </c>
      <c r="BY145" s="707">
        <f t="shared" ca="1" si="91"/>
        <v>5224.8</v>
      </c>
      <c r="BZ145" s="707">
        <f t="shared" ca="1" si="92"/>
        <v>261.24</v>
      </c>
      <c r="CA145" s="699">
        <f t="shared" ca="1" si="93"/>
        <v>0.11531000000000001</v>
      </c>
      <c r="CB145" s="699">
        <f ca="1">IF(Data!$C$59=1,TRUNC(($A22*0.9-CA145)/$P$86*2000*PI()*0.8,0),IF(Data!$C$59=2,TRUNC(($A22*0.8-(CA145+0.1))/$P$86*2000*PI()*0.8,0),""))</f>
        <v>3907</v>
      </c>
    </row>
    <row r="146" spans="1:80">
      <c r="C146" s="665">
        <v>640</v>
      </c>
      <c r="D146" s="666">
        <f ca="1">IF(VLOOKUP($A$2,Motor!$A$9:$U$1280,14,FALSE)=0,D145,VLOOKUP($A$2,Motor!$A$9:$U$1280,14,FALSE))</f>
        <v>0.7</v>
      </c>
      <c r="E146" s="666">
        <f ca="1">IF(VLOOKUP($A$2,Motor!$A$9:$U$1280,15,FALSE)=0,E145,VLOOKUP($A$2,Motor!$A$9:$U$1280,15,FALSE))</f>
        <v>8000</v>
      </c>
      <c r="U146" s="707">
        <f t="shared" ca="1" si="60"/>
        <v>80</v>
      </c>
      <c r="V146" s="707">
        <f t="shared" ca="1" si="61"/>
        <v>480</v>
      </c>
      <c r="W146" s="704">
        <f t="shared" ca="1" si="62"/>
        <v>0.20879999999999999</v>
      </c>
      <c r="X146" s="704">
        <f t="shared" ca="1" si="54"/>
        <v>0.20879999999999999</v>
      </c>
      <c r="Y146" s="704">
        <f t="shared" ca="1" si="63"/>
        <v>0.23199999999999998</v>
      </c>
      <c r="Z146" s="704">
        <f ca="1">IF(Data!$E$83=1,Data!$L$117+Data!$F$59+X146/Data!$L$116/Data!$E$59/Data!$L$115,Data!$E$90+Data!$F$59+X146/Data!$G$90/Data!$E$59/Data!$D$90)</f>
        <v>0.23199999999999998</v>
      </c>
      <c r="AA146" s="704">
        <f t="shared" ca="1" si="64"/>
        <v>0.86040000000000005</v>
      </c>
      <c r="AB146" s="699">
        <f ca="1">IF(Data!$C$59=1,TRUNC(($A89*0.9-W146)/$P$89*2000*PI()*0.8,0),IF(Data!$C$59=2,TRUNC(($A89*0.8-(W146+0.1))/$P$89*2000*PI()*0.8,0),""))</f>
        <v>284</v>
      </c>
      <c r="AC146" s="699"/>
      <c r="AD146" s="706"/>
      <c r="AE146" s="707">
        <f t="shared" ca="1" si="65"/>
        <v>32</v>
      </c>
      <c r="AF146" s="707">
        <f t="shared" ca="1" si="66"/>
        <v>480</v>
      </c>
      <c r="AG146" s="704">
        <f t="shared" ca="1" si="67"/>
        <v>8.1200000000000008E-2</v>
      </c>
      <c r="AH146" s="704">
        <f t="shared" ca="1" si="55"/>
        <v>8.1200000000000008E-2</v>
      </c>
      <c r="AI146" s="704">
        <f t="shared" ca="1" si="68"/>
        <v>9.0222222222222231E-2</v>
      </c>
      <c r="AJ146" s="704">
        <f ca="1">IF(Data!$E$83=1,Data!$L$117+Data!$F$59+AH146/Data!$L$116/Data!$E$59/Data!$L$115,Data!$E$90+Data!$F$59+AH146/Data!$G$90/Data!$E$59/Data!$D$90)</f>
        <v>9.0222222222222231E-2</v>
      </c>
      <c r="AK146" s="704">
        <f t="shared" ca="1" si="69"/>
        <v>0.86040000000000005</v>
      </c>
      <c r="AL146" s="699">
        <f ca="1">IF(Data!$C$59=1,TRUNC(($A89*0.9-AG146)/$P$88*2000*PI()*0.8,0),IF(Data!$C$59=2,TRUNC(($A89*0.8-(AG146+0.1))/$P$88*2000*PI()*0.8,0),""))</f>
        <v>871</v>
      </c>
      <c r="AM146" s="706"/>
      <c r="AN146" s="707">
        <f t="shared" ca="1" si="70"/>
        <v>80</v>
      </c>
      <c r="AO146" s="707">
        <f t="shared" ca="1" si="71"/>
        <v>480</v>
      </c>
      <c r="AP146" s="704">
        <f t="shared" ca="1" si="72"/>
        <v>0.16799999999999998</v>
      </c>
      <c r="AQ146" s="704">
        <f t="shared" ca="1" si="56"/>
        <v>0.16799999999999998</v>
      </c>
      <c r="AR146" s="704">
        <f t="shared" ca="1" si="73"/>
        <v>0.18666666666666665</v>
      </c>
      <c r="AS146" s="704">
        <f ca="1">IF(Data!$E$83=1,Data!$L$117+Data!$F$59+AQ146/Data!$L$116/Data!$E$59/Data!$L$115,Data!$E$90+Data!$F$59+AQ146/Data!$G$90/Data!$E$59/Data!$D$90)</f>
        <v>0.18666666666666665</v>
      </c>
      <c r="AT146" s="704">
        <f t="shared" ca="1" si="74"/>
        <v>0.86040000000000005</v>
      </c>
      <c r="AU146" s="699">
        <f ca="1">IF(Data!$C$59=1,TRUNC(($A89*0.9-AP146)/$P$87*2000*PI()*0.8,0),IF(Data!$C$59=2,TRUNC(($A89*0.8-(AP146+0.1))/$P$87*2000*PI()*0.8,0),""))</f>
        <v>304</v>
      </c>
      <c r="AV146" s="706"/>
      <c r="AW146" s="707">
        <f t="shared" ca="1" si="57"/>
        <v>24</v>
      </c>
      <c r="AX146" s="707">
        <f t="shared" ca="1" si="58"/>
        <v>480</v>
      </c>
      <c r="AY146" s="704">
        <f t="shared" ca="1" si="75"/>
        <v>5.6000000000000001E-2</v>
      </c>
      <c r="AZ146" s="704">
        <f t="shared" ca="1" si="59"/>
        <v>5.6000000000000001E-2</v>
      </c>
      <c r="BA146" s="704">
        <f t="shared" ca="1" si="76"/>
        <v>6.222222222222222E-2</v>
      </c>
      <c r="BB146" s="704">
        <f ca="1">IF(Data!$E$83=1,Data!$L$117+Data!$F$59+AZ146/Data!$L$116/Data!$E$59/Data!$L$115,Data!$E$90+Data!$F$59+AZ146/Data!$G$90/Data!$E$59/Data!$D$90)</f>
        <v>6.222222222222222E-2</v>
      </c>
      <c r="BC146" s="704">
        <f t="shared" ca="1" si="77"/>
        <v>0.86040000000000005</v>
      </c>
      <c r="BD146" s="699">
        <f ca="1">IF(Data!$C$59=1,TRUNC(($A89*0.9-AY146)/$P$86*2000*PI()*0.8,0),IF(Data!$C$59=2,TRUNC(($A89*0.8-(AY146+0.1))/$P$86*2000*PI()*0.8,0),""))</f>
        <v>1203</v>
      </c>
      <c r="BE146" s="699"/>
      <c r="BF146" s="704">
        <f t="shared" ca="1" si="78"/>
        <v>2.6782269890109891</v>
      </c>
      <c r="BG146" s="707">
        <f t="shared" ca="1" si="79"/>
        <v>5302.7</v>
      </c>
      <c r="BH146" s="707">
        <f t="shared" ca="1" si="80"/>
        <v>883.7833333333333</v>
      </c>
      <c r="BI146" s="699">
        <f t="shared" ca="1" si="81"/>
        <v>0.49816199999999994</v>
      </c>
      <c r="BJ146" s="699">
        <f ca="1">IF(Data!$C$59=1,TRUNC(($A23*0.9-BI146)/$P$89*2000*PI()*0.8,0),IF(Data!$C$59=2,TRUNC(($A23*0.8-(BI146+0.1))/$P$89*2000*PI()*0.8,0),""))</f>
        <v>961</v>
      </c>
      <c r="BK146" s="699"/>
      <c r="BL146" s="704">
        <f t="shared" ca="1" si="82"/>
        <v>2.6782269890109891</v>
      </c>
      <c r="BM146" s="707">
        <f t="shared" ca="1" si="83"/>
        <v>5302.7</v>
      </c>
      <c r="BN146" s="707">
        <f t="shared" ca="1" si="84"/>
        <v>353.51333333333332</v>
      </c>
      <c r="BO146" s="699">
        <f t="shared" ca="1" si="85"/>
        <v>0.19372966666666669</v>
      </c>
      <c r="BP146" s="699">
        <f ca="1">IF(Data!$C$59=1,TRUNC(($A23*0.9-BO146)/$P$88*2000*PI()*0.8,0),IF(Data!$C$59=2,TRUNC(($A23*0.8-(BO146+0.1))/$P$88*2000*PI()*0.8,0),""))</f>
        <v>2785</v>
      </c>
      <c r="BQ146" s="699"/>
      <c r="BR146" s="704">
        <f t="shared" ca="1" si="86"/>
        <v>2.6782269890109891</v>
      </c>
      <c r="BS146" s="707">
        <f t="shared" ca="1" si="87"/>
        <v>5302.7</v>
      </c>
      <c r="BT146" s="707">
        <f t="shared" ca="1" si="88"/>
        <v>883.7833333333333</v>
      </c>
      <c r="BU146" s="699">
        <f t="shared" ca="1" si="89"/>
        <v>0.34885124999999995</v>
      </c>
      <c r="BV146" s="699">
        <f ca="1">IF(Data!$C$59=1,TRUNC(($A23*0.9-BU146)/$P$87*2000*PI()*0.8,0),IF(Data!$C$59=2,TRUNC(($A23*0.8-(BU146+0.1))/$P$87*2000*PI()*0.8,0),""))</f>
        <v>1036</v>
      </c>
      <c r="BW146" s="699"/>
      <c r="BX146" s="704">
        <f t="shared" ca="1" si="90"/>
        <v>2.6782269890109891</v>
      </c>
      <c r="BY146" s="707">
        <f t="shared" ca="1" si="91"/>
        <v>5302.7</v>
      </c>
      <c r="BZ146" s="707">
        <f t="shared" ca="1" si="92"/>
        <v>265.13499999999999</v>
      </c>
      <c r="CA146" s="699">
        <f t="shared" ca="1" si="93"/>
        <v>0.11628375000000001</v>
      </c>
      <c r="CB146" s="699">
        <f ca="1">IF(Data!$C$59=1,TRUNC(($A23*0.9-CA146)/$P$86*2000*PI()*0.8,0),IF(Data!$C$59=2,TRUNC(($A23*0.8-(CA146+0.1))/$P$86*2000*PI()*0.8,0),""))</f>
        <v>3843</v>
      </c>
    </row>
    <row r="147" spans="1:80" s="586" customFormat="1">
      <c r="L147" s="641"/>
      <c r="M147" s="641"/>
      <c r="U147" s="707">
        <f t="shared" ca="1" si="60"/>
        <v>106.66666666666666</v>
      </c>
      <c r="V147" s="707">
        <f t="shared" ca="1" si="61"/>
        <v>640</v>
      </c>
      <c r="W147" s="704">
        <f t="shared" ca="1" si="62"/>
        <v>0.21839999999999998</v>
      </c>
      <c r="X147" s="704">
        <f t="shared" ca="1" si="54"/>
        <v>0.21839999999999998</v>
      </c>
      <c r="Y147" s="704">
        <f t="shared" ca="1" si="63"/>
        <v>0.24266666666666664</v>
      </c>
      <c r="Z147" s="704">
        <f ca="1">IF(Data!$E$83=1,Data!$L$117+Data!$F$59+X147/Data!$L$116/Data!$E$59/Data!$L$115,Data!$E$90+Data!$F$59+X147/Data!$G$90/Data!$E$59/Data!$D$90)</f>
        <v>0.24266666666666664</v>
      </c>
      <c r="AA147" s="704">
        <f t="shared" ca="1" si="64"/>
        <v>0.85720000000000007</v>
      </c>
      <c r="AB147" s="699">
        <f ca="1">IF(Data!$C$59=1,TRUNC(($A90*0.9-W147)/$P$89*2000*PI()*0.8,0),IF(Data!$C$59=2,TRUNC(($A90*0.8-(W147+0.1))/$P$89*2000*PI()*0.8,0),""))</f>
        <v>278</v>
      </c>
      <c r="AC147" s="699"/>
      <c r="AD147" s="712"/>
      <c r="AE147" s="707">
        <f t="shared" ca="1" si="65"/>
        <v>42.666666666666664</v>
      </c>
      <c r="AF147" s="707">
        <f t="shared" ca="1" si="66"/>
        <v>640</v>
      </c>
      <c r="AG147" s="704">
        <f t="shared" ca="1" si="67"/>
        <v>8.4933333333333347E-2</v>
      </c>
      <c r="AH147" s="704">
        <f t="shared" ca="1" si="55"/>
        <v>8.4933333333333347E-2</v>
      </c>
      <c r="AI147" s="704">
        <f t="shared" ca="1" si="68"/>
        <v>9.4370370370370382E-2</v>
      </c>
      <c r="AJ147" s="704">
        <f ca="1">IF(Data!$E$83=1,Data!$L$117+Data!$F$59+AH147/Data!$L$116/Data!$E$59/Data!$L$115,Data!$E$90+Data!$F$59+AH147/Data!$G$90/Data!$E$59/Data!$D$90)</f>
        <v>9.4370370370370382E-2</v>
      </c>
      <c r="AK147" s="704">
        <f t="shared" ca="1" si="69"/>
        <v>0.85720000000000007</v>
      </c>
      <c r="AL147" s="699">
        <f ca="1">IF(Data!$C$59=1,TRUNC(($A90*0.9-AG147)/$P$88*2000*PI()*0.8,0),IF(Data!$C$59=2,TRUNC(($A90*0.8-(AG147+0.1))/$P$88*2000*PI()*0.8,0),""))</f>
        <v>862</v>
      </c>
      <c r="AM147" s="712"/>
      <c r="AN147" s="707">
        <f t="shared" ca="1" si="70"/>
        <v>106.66666666666666</v>
      </c>
      <c r="AO147" s="707">
        <f t="shared" ca="1" si="71"/>
        <v>640</v>
      </c>
      <c r="AP147" s="704">
        <f t="shared" ca="1" si="72"/>
        <v>0.17399999999999999</v>
      </c>
      <c r="AQ147" s="704">
        <f t="shared" ca="1" si="56"/>
        <v>0.17399999999999999</v>
      </c>
      <c r="AR147" s="704">
        <f t="shared" ca="1" si="73"/>
        <v>0.1933333333333333</v>
      </c>
      <c r="AS147" s="704">
        <f ca="1">IF(Data!$E$83=1,Data!$L$117+Data!$F$59+AQ147/Data!$L$116/Data!$E$59/Data!$L$115,Data!$E$90+Data!$F$59+AQ147/Data!$G$90/Data!$E$59/Data!$D$90)</f>
        <v>0.1933333333333333</v>
      </c>
      <c r="AT147" s="704">
        <f t="shared" ca="1" si="74"/>
        <v>0.85720000000000007</v>
      </c>
      <c r="AU147" s="699">
        <f ca="1">IF(Data!$C$59=1,TRUNC(($A90*0.9-AP147)/$P$87*2000*PI()*0.8,0),IF(Data!$C$59=2,TRUNC(($A90*0.8-(AP147+0.1))/$P$87*2000*PI()*0.8,0),""))</f>
        <v>300</v>
      </c>
      <c r="AV147" s="712"/>
      <c r="AW147" s="707">
        <f t="shared" ca="1" si="57"/>
        <v>32</v>
      </c>
      <c r="AX147" s="707">
        <f t="shared" ca="1" si="58"/>
        <v>640</v>
      </c>
      <c r="AY147" s="704">
        <f t="shared" ca="1" si="75"/>
        <v>5.8000000000000003E-2</v>
      </c>
      <c r="AZ147" s="704">
        <f t="shared" ca="1" si="59"/>
        <v>5.8000000000000003E-2</v>
      </c>
      <c r="BA147" s="704">
        <f t="shared" ca="1" si="76"/>
        <v>6.4444444444444443E-2</v>
      </c>
      <c r="BB147" s="704">
        <f ca="1">IF(Data!$E$83=1,Data!$L$117+Data!$F$59+AZ147/Data!$L$116/Data!$E$59/Data!$L$115,Data!$E$90+Data!$F$59+AZ147/Data!$G$90/Data!$E$59/Data!$D$90)</f>
        <v>6.4444444444444443E-2</v>
      </c>
      <c r="BC147" s="704">
        <f t="shared" ca="1" si="77"/>
        <v>0.85720000000000007</v>
      </c>
      <c r="BD147" s="699">
        <f ca="1">IF(Data!$C$59=1,TRUNC(($A90*0.9-AY147)/$P$86*2000*PI()*0.8,0),IF(Data!$C$59=2,TRUNC(($A90*0.8-(AY147+0.1))/$P$86*2000*PI()*0.8,0),""))</f>
        <v>1195</v>
      </c>
      <c r="BE147" s="713"/>
      <c r="BF147" s="704">
        <f t="shared" ca="1" si="78"/>
        <v>2.6364458901098904</v>
      </c>
      <c r="BG147" s="707">
        <f t="shared" ca="1" si="79"/>
        <v>5382.1</v>
      </c>
      <c r="BH147" s="707">
        <f t="shared" ca="1" si="80"/>
        <v>897.01666666666665</v>
      </c>
      <c r="BI147" s="699">
        <f t="shared" ca="1" si="81"/>
        <v>0.50292599999999998</v>
      </c>
      <c r="BJ147" s="699">
        <f ca="1">IF(Data!$C$59=1,TRUNC(($A24*0.9-BI147)/$P$89*2000*PI()*0.8,0),IF(Data!$C$59=2,TRUNC(($A24*0.8-(BI147+0.1))/$P$89*2000*PI()*0.8,0),""))</f>
        <v>939</v>
      </c>
      <c r="BK147" s="713"/>
      <c r="BL147" s="704">
        <f t="shared" ca="1" si="82"/>
        <v>2.6364458901098904</v>
      </c>
      <c r="BM147" s="707">
        <f t="shared" ca="1" si="83"/>
        <v>5382.1</v>
      </c>
      <c r="BN147" s="707">
        <f t="shared" ca="1" si="84"/>
        <v>358.80666666666667</v>
      </c>
      <c r="BO147" s="699">
        <f t="shared" ca="1" si="85"/>
        <v>0.19558233333333336</v>
      </c>
      <c r="BP147" s="699">
        <f ca="1">IF(Data!$C$59=1,TRUNC(($A24*0.9-BO147)/$P$88*2000*PI()*0.8,0),IF(Data!$C$59=2,TRUNC(($A24*0.8-(BO147+0.1))/$P$88*2000*PI()*0.8,0),""))</f>
        <v>2735</v>
      </c>
      <c r="BQ147" s="713"/>
      <c r="BR147" s="704">
        <f t="shared" ca="1" si="86"/>
        <v>2.6364458901098904</v>
      </c>
      <c r="BS147" s="707">
        <f t="shared" ca="1" si="87"/>
        <v>5382.1</v>
      </c>
      <c r="BT147" s="707">
        <f t="shared" ca="1" si="88"/>
        <v>897.01666666666665</v>
      </c>
      <c r="BU147" s="699">
        <f t="shared" ca="1" si="89"/>
        <v>0.35182875000000002</v>
      </c>
      <c r="BV147" s="699">
        <f ca="1">IF(Data!$C$59=1,TRUNC(($A24*0.9-BU147)/$P$87*2000*PI()*0.8,0),IF(Data!$C$59=2,TRUNC(($A24*0.8-(BU147+0.1))/$P$87*2000*PI()*0.8,0),""))</f>
        <v>1015</v>
      </c>
      <c r="BW147" s="713"/>
      <c r="BX147" s="704">
        <f t="shared" ca="1" si="90"/>
        <v>2.6364458901098904</v>
      </c>
      <c r="BY147" s="707">
        <f t="shared" ca="1" si="91"/>
        <v>5382.1</v>
      </c>
      <c r="BZ147" s="707">
        <f t="shared" ca="1" si="92"/>
        <v>269.10500000000002</v>
      </c>
      <c r="CA147" s="699">
        <f t="shared" ca="1" si="93"/>
        <v>0.11727625000000001</v>
      </c>
      <c r="CB147" s="699">
        <f ca="1">IF(Data!$C$59=1,TRUNC(($A24*0.9-CA147)/$P$86*2000*PI()*0.8,0),IF(Data!$C$59=2,TRUNC(($A24*0.8-(CA147+0.1))/$P$86*2000*PI()*0.8,0),""))</f>
        <v>3779</v>
      </c>
    </row>
    <row r="148" spans="1:80" s="586" customFormat="1">
      <c r="A148" s="586" t="s">
        <v>1761</v>
      </c>
      <c r="L148" s="641"/>
      <c r="M148" s="641"/>
      <c r="U148" s="707">
        <f t="shared" ca="1" si="60"/>
        <v>133.33333333333334</v>
      </c>
      <c r="V148" s="707">
        <f t="shared" ca="1" si="61"/>
        <v>800</v>
      </c>
      <c r="W148" s="704">
        <f t="shared" ca="1" si="62"/>
        <v>0.22799999999999998</v>
      </c>
      <c r="X148" s="704">
        <f t="shared" ca="1" si="54"/>
        <v>0.22799999999999998</v>
      </c>
      <c r="Y148" s="704">
        <f t="shared" ca="1" si="63"/>
        <v>0.2533333333333333</v>
      </c>
      <c r="Z148" s="704">
        <f ca="1">IF(Data!$E$83=1,Data!$L$117+Data!$F$59+X148/Data!$L$116/Data!$E$59/Data!$L$115,Data!$E$90+Data!$F$59+X148/Data!$G$90/Data!$E$59/Data!$D$90)</f>
        <v>0.2533333333333333</v>
      </c>
      <c r="AA148" s="704">
        <f t="shared" ca="1" si="64"/>
        <v>0.85400000000000009</v>
      </c>
      <c r="AB148" s="699">
        <f ca="1">IF(Data!$C$59=1,TRUNC(($A91*0.9-W148)/$P$89*2000*PI()*0.8,0),IF(Data!$C$59=2,TRUNC(($A91*0.8-(W148+0.1))/$P$89*2000*PI()*0.8,0),""))</f>
        <v>271</v>
      </c>
      <c r="AC148" s="699"/>
      <c r="AD148" s="712"/>
      <c r="AE148" s="707">
        <f t="shared" ca="1" si="65"/>
        <v>53.333333333333336</v>
      </c>
      <c r="AF148" s="707">
        <f t="shared" ca="1" si="66"/>
        <v>800</v>
      </c>
      <c r="AG148" s="704">
        <f t="shared" ca="1" si="67"/>
        <v>8.8666666666666671E-2</v>
      </c>
      <c r="AH148" s="704">
        <f t="shared" ca="1" si="55"/>
        <v>8.8666666666666671E-2</v>
      </c>
      <c r="AI148" s="704">
        <f t="shared" ca="1" si="68"/>
        <v>9.8518518518518519E-2</v>
      </c>
      <c r="AJ148" s="704">
        <f ca="1">IF(Data!$E$83=1,Data!$L$117+Data!$F$59+AH148/Data!$L$116/Data!$E$59/Data!$L$115,Data!$E$90+Data!$F$59+AH148/Data!$G$90/Data!$E$59/Data!$D$90)</f>
        <v>9.8518518518518519E-2</v>
      </c>
      <c r="AK148" s="704">
        <f t="shared" ca="1" si="69"/>
        <v>0.85400000000000009</v>
      </c>
      <c r="AL148" s="699">
        <f ca="1">IF(Data!$C$59=1,TRUNC(($A91*0.9-AG148)/$P$88*2000*PI()*0.8,0),IF(Data!$C$59=2,TRUNC(($A91*0.8-(AG148+0.1))/$P$88*2000*PI()*0.8,0),""))</f>
        <v>854</v>
      </c>
      <c r="AM148" s="712"/>
      <c r="AN148" s="707">
        <f t="shared" ca="1" si="70"/>
        <v>133.33333333333334</v>
      </c>
      <c r="AO148" s="707">
        <f t="shared" ca="1" si="71"/>
        <v>800</v>
      </c>
      <c r="AP148" s="704">
        <f t="shared" ca="1" si="72"/>
        <v>0.18</v>
      </c>
      <c r="AQ148" s="704">
        <f t="shared" ca="1" si="56"/>
        <v>0.18</v>
      </c>
      <c r="AR148" s="704">
        <f t="shared" ca="1" si="73"/>
        <v>0.19999999999999998</v>
      </c>
      <c r="AS148" s="704">
        <f ca="1">IF(Data!$E$83=1,Data!$L$117+Data!$F$59+AQ148/Data!$L$116/Data!$E$59/Data!$L$115,Data!$E$90+Data!$F$59+AQ148/Data!$G$90/Data!$E$59/Data!$D$90)</f>
        <v>0.19999999999999998</v>
      </c>
      <c r="AT148" s="704">
        <f t="shared" ca="1" si="74"/>
        <v>0.85400000000000009</v>
      </c>
      <c r="AU148" s="699">
        <f ca="1">IF(Data!$C$59=1,TRUNC(($A91*0.9-AP148)/$P$87*2000*PI()*0.8,0),IF(Data!$C$59=2,TRUNC(($A91*0.8-(AP148+0.1))/$P$87*2000*PI()*0.8,0),""))</f>
        <v>295</v>
      </c>
      <c r="AV148" s="712"/>
      <c r="AW148" s="707">
        <f t="shared" ca="1" si="57"/>
        <v>40</v>
      </c>
      <c r="AX148" s="707">
        <f t="shared" ca="1" si="58"/>
        <v>800</v>
      </c>
      <c r="AY148" s="704">
        <f t="shared" ca="1" si="75"/>
        <v>6.0000000000000005E-2</v>
      </c>
      <c r="AZ148" s="704">
        <f t="shared" ca="1" si="59"/>
        <v>6.0000000000000005E-2</v>
      </c>
      <c r="BA148" s="704">
        <f t="shared" ca="1" si="76"/>
        <v>6.6666666666666666E-2</v>
      </c>
      <c r="BB148" s="704">
        <f ca="1">IF(Data!$E$83=1,Data!$L$117+Data!$F$59+AZ148/Data!$L$116/Data!$E$59/Data!$L$115,Data!$E$90+Data!$F$59+AZ148/Data!$G$90/Data!$E$59/Data!$D$90)</f>
        <v>6.6666666666666666E-2</v>
      </c>
      <c r="BC148" s="704">
        <f t="shared" ca="1" si="77"/>
        <v>0.85400000000000009</v>
      </c>
      <c r="BD148" s="699">
        <f ca="1">IF(Data!$C$59=1,TRUNC(($A91*0.9-AY148)/$P$86*2000*PI()*0.8,0),IF(Data!$C$59=2,TRUNC(($A91*0.8-(AY148+0.1))/$P$86*2000*PI()*0.8,0),""))</f>
        <v>1187</v>
      </c>
      <c r="BE148" s="713"/>
      <c r="BF148" s="704">
        <f t="shared" ca="1" si="78"/>
        <v>2.5940683956043955</v>
      </c>
      <c r="BG148" s="707">
        <f t="shared" ca="1" si="79"/>
        <v>5463.1</v>
      </c>
      <c r="BH148" s="707">
        <f t="shared" ca="1" si="80"/>
        <v>910.51666666666677</v>
      </c>
      <c r="BI148" s="699">
        <f t="shared" ca="1" si="81"/>
        <v>0.50778600000000007</v>
      </c>
      <c r="BJ148" s="699">
        <f ca="1">IF(Data!$C$59=1,TRUNC(($A25*0.9-BI148)/$P$89*2000*PI()*0.8,0),IF(Data!$C$59=2,TRUNC(($A25*0.8-(BI148+0.1))/$P$89*2000*PI()*0.8,0),""))</f>
        <v>918</v>
      </c>
      <c r="BK148" s="713"/>
      <c r="BL148" s="704">
        <f t="shared" ca="1" si="82"/>
        <v>2.5940683956043955</v>
      </c>
      <c r="BM148" s="707">
        <f t="shared" ca="1" si="83"/>
        <v>5463.1</v>
      </c>
      <c r="BN148" s="707">
        <f t="shared" ca="1" si="84"/>
        <v>364.20666666666671</v>
      </c>
      <c r="BO148" s="699">
        <f t="shared" ca="1" si="85"/>
        <v>0.19747233333333336</v>
      </c>
      <c r="BP148" s="699">
        <f ca="1">IF(Data!$C$59=1,TRUNC(($A25*0.9-BO148)/$P$88*2000*PI()*0.8,0),IF(Data!$C$59=2,TRUNC(($A25*0.8-(BO148+0.1))/$P$88*2000*PI()*0.8,0),""))</f>
        <v>2685</v>
      </c>
      <c r="BQ148" s="713"/>
      <c r="BR148" s="704">
        <f t="shared" ca="1" si="86"/>
        <v>2.5940683956043955</v>
      </c>
      <c r="BS148" s="707">
        <f t="shared" ca="1" si="87"/>
        <v>5463.1</v>
      </c>
      <c r="BT148" s="707">
        <f t="shared" ca="1" si="88"/>
        <v>910.51666666666677</v>
      </c>
      <c r="BU148" s="699">
        <f t="shared" ca="1" si="89"/>
        <v>0.35486625000000005</v>
      </c>
      <c r="BV148" s="699">
        <f ca="1">IF(Data!$C$59=1,TRUNC(($A25*0.9-BU148)/$P$87*2000*PI()*0.8,0),IF(Data!$C$59=2,TRUNC(($A25*0.8-(BU148+0.1))/$P$87*2000*PI()*0.8,0),""))</f>
        <v>995</v>
      </c>
      <c r="BW148" s="713"/>
      <c r="BX148" s="704">
        <f t="shared" ca="1" si="90"/>
        <v>2.5940683956043955</v>
      </c>
      <c r="BY148" s="707">
        <f t="shared" ca="1" si="91"/>
        <v>5463.1</v>
      </c>
      <c r="BZ148" s="707">
        <f t="shared" ca="1" si="92"/>
        <v>273.15500000000003</v>
      </c>
      <c r="CA148" s="699">
        <f t="shared" ca="1" si="93"/>
        <v>0.11828875000000001</v>
      </c>
      <c r="CB148" s="699">
        <f ca="1">IF(Data!$C$59=1,TRUNC(($A25*0.9-CA148)/$P$86*2000*PI()*0.8,0),IF(Data!$C$59=2,TRUNC(($A25*0.8-(CA148+0.1))/$P$86*2000*PI()*0.8,0),""))</f>
        <v>3713</v>
      </c>
    </row>
    <row r="149" spans="1:80" s="586" customFormat="1">
      <c r="A149" s="586">
        <f ca="1">A14*MAX(($G$10/$H$10-($G$10/$H$10-$I$10/$D$10)/$D$10*A14),$I$10/$D$10)</f>
        <v>250.90909090909091</v>
      </c>
      <c r="B149" s="586">
        <v>0</v>
      </c>
      <c r="L149" s="641"/>
      <c r="M149" s="641"/>
      <c r="U149" s="707">
        <f t="shared" ca="1" si="60"/>
        <v>160</v>
      </c>
      <c r="V149" s="707">
        <f t="shared" ca="1" si="61"/>
        <v>960</v>
      </c>
      <c r="W149" s="704">
        <f t="shared" ca="1" si="62"/>
        <v>0.23759999999999998</v>
      </c>
      <c r="X149" s="704">
        <f t="shared" ca="1" si="54"/>
        <v>0.23759999999999998</v>
      </c>
      <c r="Y149" s="704">
        <f t="shared" ca="1" si="63"/>
        <v>0.26399999999999996</v>
      </c>
      <c r="Z149" s="704">
        <f ca="1">IF(Data!$E$83=1,Data!$L$117+Data!$F$59+X149/Data!$L$116/Data!$E$59/Data!$L$115,Data!$E$90+Data!$F$59+X149/Data!$G$90/Data!$E$59/Data!$D$90)</f>
        <v>0.26399999999999996</v>
      </c>
      <c r="AA149" s="704">
        <f t="shared" ca="1" si="64"/>
        <v>0.85080000000000011</v>
      </c>
      <c r="AB149" s="699">
        <f ca="1">IF(Data!$C$59=1,TRUNC(($A92*0.9-W149)/$P$89*2000*PI()*0.8,0),IF(Data!$C$59=2,TRUNC(($A92*0.8-(W149+0.1))/$P$89*2000*PI()*0.8,0),""))</f>
        <v>265</v>
      </c>
      <c r="AC149" s="699"/>
      <c r="AD149" s="712"/>
      <c r="AE149" s="707">
        <f t="shared" ca="1" si="65"/>
        <v>64</v>
      </c>
      <c r="AF149" s="707">
        <f t="shared" ca="1" si="66"/>
        <v>960</v>
      </c>
      <c r="AG149" s="704">
        <f t="shared" ca="1" si="67"/>
        <v>9.240000000000001E-2</v>
      </c>
      <c r="AH149" s="704">
        <f t="shared" ca="1" si="55"/>
        <v>9.240000000000001E-2</v>
      </c>
      <c r="AI149" s="704">
        <f t="shared" ca="1" si="68"/>
        <v>0.10266666666666667</v>
      </c>
      <c r="AJ149" s="704">
        <f ca="1">IF(Data!$E$83=1,Data!$L$117+Data!$F$59+AH149/Data!$L$116/Data!$E$59/Data!$L$115,Data!$E$90+Data!$F$59+AH149/Data!$G$90/Data!$E$59/Data!$D$90)</f>
        <v>0.10266666666666667</v>
      </c>
      <c r="AK149" s="704">
        <f t="shared" ca="1" si="69"/>
        <v>0.85080000000000011</v>
      </c>
      <c r="AL149" s="699">
        <f ca="1">IF(Data!$C$59=1,TRUNC(($A92*0.9-AG149)/$P$88*2000*PI()*0.8,0),IF(Data!$C$59=2,TRUNC(($A92*0.8-(AG149+0.1))/$P$88*2000*PI()*0.8,0),""))</f>
        <v>846</v>
      </c>
      <c r="AM149" s="712"/>
      <c r="AN149" s="707">
        <f t="shared" ca="1" si="70"/>
        <v>160</v>
      </c>
      <c r="AO149" s="707">
        <f t="shared" ca="1" si="71"/>
        <v>960</v>
      </c>
      <c r="AP149" s="704">
        <f t="shared" ca="1" si="72"/>
        <v>0.186</v>
      </c>
      <c r="AQ149" s="704">
        <f t="shared" ca="1" si="56"/>
        <v>0.186</v>
      </c>
      <c r="AR149" s="704">
        <f t="shared" ca="1" si="73"/>
        <v>0.20666666666666667</v>
      </c>
      <c r="AS149" s="704">
        <f ca="1">IF(Data!$E$83=1,Data!$L$117+Data!$F$59+AQ149/Data!$L$116/Data!$E$59/Data!$L$115,Data!$E$90+Data!$F$59+AQ149/Data!$G$90/Data!$E$59/Data!$D$90)</f>
        <v>0.20666666666666667</v>
      </c>
      <c r="AT149" s="704">
        <f t="shared" ca="1" si="74"/>
        <v>0.85080000000000011</v>
      </c>
      <c r="AU149" s="699">
        <f ca="1">IF(Data!$C$59=1,TRUNC(($A92*0.9-AP149)/$P$87*2000*PI()*0.8,0),IF(Data!$C$59=2,TRUNC(($A92*0.8-(AP149+0.1))/$P$87*2000*PI()*0.8,0),""))</f>
        <v>291</v>
      </c>
      <c r="AV149" s="712"/>
      <c r="AW149" s="707">
        <f t="shared" ca="1" si="57"/>
        <v>48</v>
      </c>
      <c r="AX149" s="707">
        <f t="shared" ca="1" si="58"/>
        <v>960</v>
      </c>
      <c r="AY149" s="704">
        <f t="shared" ca="1" si="75"/>
        <v>6.2E-2</v>
      </c>
      <c r="AZ149" s="704">
        <f t="shared" ca="1" si="59"/>
        <v>6.2E-2</v>
      </c>
      <c r="BA149" s="704">
        <f t="shared" ca="1" si="76"/>
        <v>6.8888888888888888E-2</v>
      </c>
      <c r="BB149" s="704">
        <f ca="1">IF(Data!$E$83=1,Data!$L$117+Data!$F$59+AZ149/Data!$L$116/Data!$E$59/Data!$L$115,Data!$E$90+Data!$F$59+AZ149/Data!$G$90/Data!$E$59/Data!$D$90)</f>
        <v>6.8888888888888888E-2</v>
      </c>
      <c r="BC149" s="704">
        <f t="shared" ca="1" si="77"/>
        <v>0.85080000000000011</v>
      </c>
      <c r="BD149" s="699">
        <f ca="1">IF(Data!$C$59=1,TRUNC(($A92*0.9-AY149)/$P$86*2000*PI()*0.8,0),IF(Data!$C$59=2,TRUNC(($A92*0.8-(AY149+0.1))/$P$86*2000*PI()*0.8,0),""))</f>
        <v>1179</v>
      </c>
      <c r="BE149" s="713"/>
      <c r="BF149" s="704">
        <f t="shared" ca="1" si="78"/>
        <v>2.5510945054945053</v>
      </c>
      <c r="BG149" s="707">
        <f t="shared" ca="1" si="79"/>
        <v>5545.7</v>
      </c>
      <c r="BH149" s="707">
        <f t="shared" ca="1" si="80"/>
        <v>924.2833333333333</v>
      </c>
      <c r="BI149" s="699">
        <f t="shared" ca="1" si="81"/>
        <v>0.51274200000000003</v>
      </c>
      <c r="BJ149" s="699">
        <f ca="1">IF(Data!$C$59=1,TRUNC(($A26*0.9-BI149)/$P$89*2000*PI()*0.8,0),IF(Data!$C$59=2,TRUNC(($A26*0.8-(BI149+0.1))/$P$89*2000*PI()*0.8,0),""))</f>
        <v>896</v>
      </c>
      <c r="BK149" s="713"/>
      <c r="BL149" s="704">
        <f t="shared" ca="1" si="82"/>
        <v>2.5510945054945053</v>
      </c>
      <c r="BM149" s="707">
        <f t="shared" ca="1" si="83"/>
        <v>5545.7</v>
      </c>
      <c r="BN149" s="707">
        <f t="shared" ca="1" si="84"/>
        <v>369.71333333333331</v>
      </c>
      <c r="BO149" s="699">
        <f t="shared" ca="1" si="85"/>
        <v>0.1993996666666667</v>
      </c>
      <c r="BP149" s="699">
        <f ca="1">IF(Data!$C$59=1,TRUNC(($A26*0.9-BO149)/$P$88*2000*PI()*0.8,0),IF(Data!$C$59=2,TRUNC(($A26*0.8-(BO149+0.1))/$P$88*2000*PI()*0.8,0),""))</f>
        <v>2634</v>
      </c>
      <c r="BQ149" s="713"/>
      <c r="BR149" s="704">
        <f t="shared" ca="1" si="86"/>
        <v>2.5510945054945053</v>
      </c>
      <c r="BS149" s="707">
        <f t="shared" ca="1" si="87"/>
        <v>5545.7</v>
      </c>
      <c r="BT149" s="707">
        <f t="shared" ca="1" si="88"/>
        <v>924.2833333333333</v>
      </c>
      <c r="BU149" s="699">
        <f t="shared" ca="1" si="89"/>
        <v>0.35796375000000002</v>
      </c>
      <c r="BV149" s="699">
        <f ca="1">IF(Data!$C$59=1,TRUNC(($A26*0.9-BU149)/$P$87*2000*PI()*0.8,0),IF(Data!$C$59=2,TRUNC(($A26*0.8-(BU149+0.1))/$P$87*2000*PI()*0.8,0),""))</f>
        <v>974</v>
      </c>
      <c r="BW149" s="713"/>
      <c r="BX149" s="704">
        <f t="shared" ca="1" si="90"/>
        <v>2.5510945054945053</v>
      </c>
      <c r="BY149" s="707">
        <f t="shared" ca="1" si="91"/>
        <v>5545.7</v>
      </c>
      <c r="BZ149" s="707">
        <f t="shared" ca="1" si="92"/>
        <v>277.28499999999997</v>
      </c>
      <c r="CA149" s="699">
        <f t="shared" ca="1" si="93"/>
        <v>0.11932125</v>
      </c>
      <c r="CB149" s="699">
        <f ca="1">IF(Data!$C$59=1,TRUNC(($A26*0.9-CA149)/$P$86*2000*PI()*0.8,0),IF(Data!$C$59=2,TRUNC(($A26*0.8-(CA149+0.1))/$P$86*2000*PI()*0.8,0),""))</f>
        <v>3647</v>
      </c>
    </row>
    <row r="150" spans="1:80" s="586" customFormat="1">
      <c r="A150" s="586">
        <f ca="1">A149</f>
        <v>250.90909090909091</v>
      </c>
      <c r="B150" s="586">
        <f ca="1">B71*1.05</f>
        <v>8400</v>
      </c>
      <c r="L150" s="641"/>
      <c r="M150" s="641"/>
      <c r="O150" s="641"/>
      <c r="U150" s="707">
        <f t="shared" ca="1" si="60"/>
        <v>186.66666666666669</v>
      </c>
      <c r="V150" s="707">
        <f t="shared" ca="1" si="61"/>
        <v>1120</v>
      </c>
      <c r="W150" s="704">
        <f t="shared" ca="1" si="62"/>
        <v>0.24719999999999998</v>
      </c>
      <c r="X150" s="704">
        <f t="shared" ca="1" si="54"/>
        <v>0.24719999999999998</v>
      </c>
      <c r="Y150" s="704">
        <f t="shared" ca="1" si="63"/>
        <v>0.27466666666666661</v>
      </c>
      <c r="Z150" s="704">
        <f ca="1">IF(Data!$E$83=1,Data!$L$117+Data!$F$59+X150/Data!$L$116/Data!$E$59/Data!$L$115,Data!$E$90+Data!$F$59+X150/Data!$G$90/Data!$E$59/Data!$D$90)</f>
        <v>0.27466666666666661</v>
      </c>
      <c r="AA150" s="704">
        <f t="shared" ca="1" si="64"/>
        <v>0.84824000000000011</v>
      </c>
      <c r="AB150" s="699">
        <f ca="1">IF(Data!$C$59=1,TRUNC(($A93*0.9-W150)/$P$89*2000*PI()*0.8,0),IF(Data!$C$59=2,TRUNC(($A93*0.8-(W150+0.1))/$P$89*2000*PI()*0.8,0),""))</f>
        <v>259</v>
      </c>
      <c r="AC150" s="699"/>
      <c r="AD150" s="712"/>
      <c r="AE150" s="707">
        <f t="shared" ca="1" si="65"/>
        <v>74.666666666666671</v>
      </c>
      <c r="AF150" s="707">
        <f t="shared" ca="1" si="66"/>
        <v>1120</v>
      </c>
      <c r="AG150" s="704">
        <f t="shared" ca="1" si="67"/>
        <v>9.6133333333333348E-2</v>
      </c>
      <c r="AH150" s="704">
        <f t="shared" ca="1" si="55"/>
        <v>9.6133333333333348E-2</v>
      </c>
      <c r="AI150" s="704">
        <f t="shared" ca="1" si="68"/>
        <v>0.10681481481481483</v>
      </c>
      <c r="AJ150" s="704">
        <f ca="1">IF(Data!$E$83=1,Data!$L$117+Data!$F$59+AH150/Data!$L$116/Data!$E$59/Data!$L$115,Data!$E$90+Data!$F$59+AH150/Data!$G$90/Data!$E$59/Data!$D$90)</f>
        <v>0.10681481481481483</v>
      </c>
      <c r="AK150" s="704">
        <f t="shared" ca="1" si="69"/>
        <v>0.84824000000000011</v>
      </c>
      <c r="AL150" s="699">
        <f ca="1">IF(Data!$C$59=1,TRUNC(($A93*0.9-AG150)/$P$88*2000*PI()*0.8,0),IF(Data!$C$59=2,TRUNC(($A93*0.8-(AG150+0.1))/$P$88*2000*PI()*0.8,0),""))</f>
        <v>838</v>
      </c>
      <c r="AM150" s="712"/>
      <c r="AN150" s="707">
        <f t="shared" ca="1" si="70"/>
        <v>186.66666666666669</v>
      </c>
      <c r="AO150" s="707">
        <f t="shared" ca="1" si="71"/>
        <v>1120</v>
      </c>
      <c r="AP150" s="704">
        <f t="shared" ca="1" si="72"/>
        <v>0.192</v>
      </c>
      <c r="AQ150" s="704">
        <f t="shared" ca="1" si="56"/>
        <v>0.192</v>
      </c>
      <c r="AR150" s="704">
        <f t="shared" ca="1" si="73"/>
        <v>0.21333333333333332</v>
      </c>
      <c r="AS150" s="704">
        <f ca="1">IF(Data!$E$83=1,Data!$L$117+Data!$F$59+AQ150/Data!$L$116/Data!$E$59/Data!$L$115,Data!$E$90+Data!$F$59+AQ150/Data!$G$90/Data!$E$59/Data!$D$90)</f>
        <v>0.21333333333333332</v>
      </c>
      <c r="AT150" s="704">
        <f t="shared" ca="1" si="74"/>
        <v>0.84824000000000011</v>
      </c>
      <c r="AU150" s="699">
        <f ca="1">IF(Data!$C$59=1,TRUNC(($A93*0.9-AP150)/$P$87*2000*PI()*0.8,0),IF(Data!$C$59=2,TRUNC(($A93*0.8-(AP150+0.1))/$P$87*2000*PI()*0.8,0),""))</f>
        <v>287</v>
      </c>
      <c r="AV150" s="712"/>
      <c r="AW150" s="707">
        <f t="shared" ca="1" si="57"/>
        <v>56</v>
      </c>
      <c r="AX150" s="707">
        <f t="shared" ca="1" si="58"/>
        <v>1120</v>
      </c>
      <c r="AY150" s="704">
        <f t="shared" ca="1" si="75"/>
        <v>6.4000000000000001E-2</v>
      </c>
      <c r="AZ150" s="704">
        <f t="shared" ca="1" si="59"/>
        <v>6.4000000000000001E-2</v>
      </c>
      <c r="BA150" s="704">
        <f t="shared" ca="1" si="76"/>
        <v>7.1111111111111111E-2</v>
      </c>
      <c r="BB150" s="704">
        <f ca="1">IF(Data!$E$83=1,Data!$L$117+Data!$F$59+AZ150/Data!$L$116/Data!$E$59/Data!$L$115,Data!$E$90+Data!$F$59+AZ150/Data!$G$90/Data!$E$59/Data!$D$90)</f>
        <v>7.1111111111111111E-2</v>
      </c>
      <c r="BC150" s="704">
        <f t="shared" ca="1" si="77"/>
        <v>0.84824000000000011</v>
      </c>
      <c r="BD150" s="699">
        <f ca="1">IF(Data!$C$59=1,TRUNC(($A93*0.9-AY150)/$P$86*2000*PI()*0.8,0),IF(Data!$C$59=2,TRUNC(($A93*0.8-(AY150+0.1))/$P$86*2000*PI()*0.8,0),""))</f>
        <v>1171</v>
      </c>
      <c r="BE150" s="713"/>
      <c r="BF150" s="704">
        <f t="shared" ca="1" si="78"/>
        <v>2.5075242197802194</v>
      </c>
      <c r="BG150" s="707">
        <f t="shared" ca="1" si="79"/>
        <v>5630</v>
      </c>
      <c r="BH150" s="707">
        <f t="shared" ca="1" si="80"/>
        <v>938.33333333333326</v>
      </c>
      <c r="BI150" s="699">
        <f t="shared" ca="1" si="81"/>
        <v>0.51780000000000004</v>
      </c>
      <c r="BJ150" s="699">
        <f ca="1">IF(Data!$C$59=1,TRUNC(($A27*0.9-BI150)/$P$89*2000*PI()*0.8,0),IF(Data!$C$59=2,TRUNC(($A27*0.8-(BI150+0.1))/$P$89*2000*PI()*0.8,0),""))</f>
        <v>874</v>
      </c>
      <c r="BK150" s="713"/>
      <c r="BL150" s="704">
        <f t="shared" ca="1" si="82"/>
        <v>2.5075242197802194</v>
      </c>
      <c r="BM150" s="707">
        <f t="shared" ca="1" si="83"/>
        <v>5630</v>
      </c>
      <c r="BN150" s="707">
        <f t="shared" ca="1" si="84"/>
        <v>375.33333333333331</v>
      </c>
      <c r="BO150" s="699">
        <f t="shared" ca="1" si="85"/>
        <v>0.20136666666666669</v>
      </c>
      <c r="BP150" s="699">
        <f ca="1">IF(Data!$C$59=1,TRUNC(($A27*0.9-BO150)/$P$88*2000*PI()*0.8,0),IF(Data!$C$59=2,TRUNC(($A27*0.8-(BO150+0.1))/$P$88*2000*PI()*0.8,0),""))</f>
        <v>2582</v>
      </c>
      <c r="BQ150" s="713"/>
      <c r="BR150" s="704">
        <f t="shared" ca="1" si="86"/>
        <v>2.5075242197802194</v>
      </c>
      <c r="BS150" s="707">
        <f t="shared" ca="1" si="87"/>
        <v>5630</v>
      </c>
      <c r="BT150" s="707">
        <f t="shared" ca="1" si="88"/>
        <v>938.33333333333326</v>
      </c>
      <c r="BU150" s="699">
        <f t="shared" ca="1" si="89"/>
        <v>0.36112499999999997</v>
      </c>
      <c r="BV150" s="699">
        <f ca="1">IF(Data!$C$59=1,TRUNC(($A27*0.9-BU150)/$P$87*2000*PI()*0.8,0),IF(Data!$C$59=2,TRUNC(($A27*0.8-(BU150+0.1))/$P$87*2000*PI()*0.8,0),""))</f>
        <v>952</v>
      </c>
      <c r="BW150" s="713"/>
      <c r="BX150" s="704">
        <f t="shared" ca="1" si="90"/>
        <v>2.5075242197802194</v>
      </c>
      <c r="BY150" s="707">
        <f t="shared" ca="1" si="91"/>
        <v>5630</v>
      </c>
      <c r="BZ150" s="707">
        <f t="shared" ca="1" si="92"/>
        <v>281.5</v>
      </c>
      <c r="CA150" s="699">
        <f t="shared" ca="1" si="93"/>
        <v>0.12037500000000001</v>
      </c>
      <c r="CB150" s="699">
        <f ca="1">IF(Data!$C$59=1,TRUNC(($A27*0.9-CA150)/$P$86*2000*PI()*0.8,0),IF(Data!$C$59=2,TRUNC(($A27*0.8-(CA150+0.1))/$P$86*2000*PI()*0.8,0),""))</f>
        <v>3579</v>
      </c>
    </row>
    <row r="151" spans="1:80" s="586" customFormat="1">
      <c r="L151" s="641"/>
      <c r="M151" s="641"/>
      <c r="N151" s="641"/>
      <c r="O151" s="641"/>
      <c r="U151" s="707">
        <f t="shared" ca="1" si="60"/>
        <v>213.33333333333331</v>
      </c>
      <c r="V151" s="707">
        <f t="shared" ca="1" si="61"/>
        <v>1280</v>
      </c>
      <c r="W151" s="704">
        <f t="shared" ca="1" si="62"/>
        <v>0.25680000000000003</v>
      </c>
      <c r="X151" s="704">
        <f t="shared" ca="1" si="54"/>
        <v>0.25680000000000003</v>
      </c>
      <c r="Y151" s="704">
        <f t="shared" ca="1" si="63"/>
        <v>0.28533333333333338</v>
      </c>
      <c r="Z151" s="704">
        <f ca="1">IF(Data!$E$83=1,Data!$L$117+Data!$F$59+X151/Data!$L$116/Data!$E$59/Data!$L$115,Data!$E$90+Data!$F$59+X151/Data!$G$90/Data!$E$59/Data!$D$90)</f>
        <v>0.28533333333333338</v>
      </c>
      <c r="AA151" s="704">
        <f t="shared" ca="1" si="64"/>
        <v>0.8456800000000001</v>
      </c>
      <c r="AB151" s="699">
        <f ca="1">IF(Data!$C$59=1,TRUNC(($A94*0.9-W151)/$P$89*2000*PI()*0.8,0),IF(Data!$C$59=2,TRUNC(($A94*0.8-(W151+0.1))/$P$89*2000*PI()*0.8,0),""))</f>
        <v>253</v>
      </c>
      <c r="AC151" s="699"/>
      <c r="AD151" s="712"/>
      <c r="AE151" s="707">
        <f t="shared" ca="1" si="65"/>
        <v>85.333333333333329</v>
      </c>
      <c r="AF151" s="707">
        <f t="shared" ca="1" si="66"/>
        <v>1280</v>
      </c>
      <c r="AG151" s="704">
        <f t="shared" ca="1" si="67"/>
        <v>9.9866666666666673E-2</v>
      </c>
      <c r="AH151" s="704">
        <f t="shared" ca="1" si="55"/>
        <v>9.9866666666666673E-2</v>
      </c>
      <c r="AI151" s="704">
        <f t="shared" ca="1" si="68"/>
        <v>0.11096296296296297</v>
      </c>
      <c r="AJ151" s="704">
        <f ca="1">IF(Data!$E$83=1,Data!$L$117+Data!$F$59+AH151/Data!$L$116/Data!$E$59/Data!$L$115,Data!$E$90+Data!$F$59+AH151/Data!$G$90/Data!$E$59/Data!$D$90)</f>
        <v>0.11096296296296297</v>
      </c>
      <c r="AK151" s="704">
        <f t="shared" ca="1" si="69"/>
        <v>0.8456800000000001</v>
      </c>
      <c r="AL151" s="699">
        <f ca="1">IF(Data!$C$59=1,TRUNC(($A94*0.9-AG151)/$P$88*2000*PI()*0.8,0),IF(Data!$C$59=2,TRUNC(($A94*0.8-(AG151+0.1))/$P$88*2000*PI()*0.8,0),""))</f>
        <v>830</v>
      </c>
      <c r="AM151" s="712"/>
      <c r="AN151" s="707">
        <f t="shared" ca="1" si="70"/>
        <v>213.33333333333331</v>
      </c>
      <c r="AO151" s="707">
        <f t="shared" ca="1" si="71"/>
        <v>1280</v>
      </c>
      <c r="AP151" s="704">
        <f t="shared" ca="1" si="72"/>
        <v>0.19800000000000001</v>
      </c>
      <c r="AQ151" s="704">
        <f t="shared" ca="1" si="56"/>
        <v>0.19800000000000001</v>
      </c>
      <c r="AR151" s="704">
        <f t="shared" ca="1" si="73"/>
        <v>0.22</v>
      </c>
      <c r="AS151" s="704">
        <f ca="1">IF(Data!$E$83=1,Data!$L$117+Data!$F$59+AQ151/Data!$L$116/Data!$E$59/Data!$L$115,Data!$E$90+Data!$F$59+AQ151/Data!$G$90/Data!$E$59/Data!$D$90)</f>
        <v>0.22</v>
      </c>
      <c r="AT151" s="704">
        <f t="shared" ca="1" si="74"/>
        <v>0.8456800000000001</v>
      </c>
      <c r="AU151" s="699">
        <f ca="1">IF(Data!$C$59=1,TRUNC(($A94*0.9-AP151)/$P$87*2000*PI()*0.8,0),IF(Data!$C$59=2,TRUNC(($A94*0.8-(AP151+0.1))/$P$87*2000*PI()*0.8,0),""))</f>
        <v>283</v>
      </c>
      <c r="AV151" s="712"/>
      <c r="AW151" s="707">
        <f t="shared" ca="1" si="57"/>
        <v>64</v>
      </c>
      <c r="AX151" s="707">
        <f t="shared" ca="1" si="58"/>
        <v>1280</v>
      </c>
      <c r="AY151" s="704">
        <f t="shared" ca="1" si="75"/>
        <v>6.6000000000000003E-2</v>
      </c>
      <c r="AZ151" s="704">
        <f t="shared" ca="1" si="59"/>
        <v>6.6000000000000003E-2</v>
      </c>
      <c r="BA151" s="704">
        <f t="shared" ca="1" si="76"/>
        <v>7.3333333333333334E-2</v>
      </c>
      <c r="BB151" s="704">
        <f ca="1">IF(Data!$E$83=1,Data!$L$117+Data!$F$59+AZ151/Data!$L$116/Data!$E$59/Data!$L$115,Data!$E$90+Data!$F$59+AZ151/Data!$G$90/Data!$E$59/Data!$D$90)</f>
        <v>7.3333333333333334E-2</v>
      </c>
      <c r="BC151" s="704">
        <f t="shared" ca="1" si="77"/>
        <v>0.8456800000000001</v>
      </c>
      <c r="BD151" s="699">
        <f ca="1">IF(Data!$C$59=1,TRUNC(($A94*0.9-AY151)/$P$86*2000*PI()*0.8,0),IF(Data!$C$59=2,TRUNC(($A94*0.8-(AY151+0.1))/$P$86*2000*PI()*0.8,0),""))</f>
        <v>1164</v>
      </c>
      <c r="BE151" s="713"/>
      <c r="BF151" s="704">
        <f t="shared" ca="1" si="78"/>
        <v>2.4633575384615383</v>
      </c>
      <c r="BG151" s="707">
        <f t="shared" ca="1" si="79"/>
        <v>5715.8</v>
      </c>
      <c r="BH151" s="707">
        <f t="shared" ca="1" si="80"/>
        <v>952.63333333333333</v>
      </c>
      <c r="BI151" s="699">
        <f t="shared" ca="1" si="81"/>
        <v>0.52294799999999997</v>
      </c>
      <c r="BJ151" s="699">
        <f ca="1">IF(Data!$C$59=1,TRUNC(($A28*0.9-BI151)/$P$89*2000*PI()*0.8,0),IF(Data!$C$59=2,TRUNC(($A28*0.8-(BI151+0.1))/$P$89*2000*PI()*0.8,0),""))</f>
        <v>851</v>
      </c>
      <c r="BK151" s="713"/>
      <c r="BL151" s="704">
        <f t="shared" ca="1" si="82"/>
        <v>2.4633575384615383</v>
      </c>
      <c r="BM151" s="707">
        <f t="shared" ca="1" si="83"/>
        <v>5715.8</v>
      </c>
      <c r="BN151" s="707">
        <f t="shared" ca="1" si="84"/>
        <v>381.05333333333334</v>
      </c>
      <c r="BO151" s="699">
        <f t="shared" ca="1" si="85"/>
        <v>0.2033686666666667</v>
      </c>
      <c r="BP151" s="699">
        <f ca="1">IF(Data!$C$59=1,TRUNC(($A28*0.9-BO151)/$P$88*2000*PI()*0.8,0),IF(Data!$C$59=2,TRUNC(($A28*0.8-(BO151+0.1))/$P$88*2000*PI()*0.8,0),""))</f>
        <v>2530</v>
      </c>
      <c r="BQ151" s="713"/>
      <c r="BR151" s="704">
        <f t="shared" ca="1" si="86"/>
        <v>2.4633575384615383</v>
      </c>
      <c r="BS151" s="707">
        <f t="shared" ca="1" si="87"/>
        <v>5715.8</v>
      </c>
      <c r="BT151" s="707">
        <f t="shared" ca="1" si="88"/>
        <v>952.63333333333333</v>
      </c>
      <c r="BU151" s="699">
        <f t="shared" ca="1" si="89"/>
        <v>0.36434250000000001</v>
      </c>
      <c r="BV151" s="699">
        <f ca="1">IF(Data!$C$59=1,TRUNC(($A28*0.9-BU151)/$P$87*2000*PI()*0.8,0),IF(Data!$C$59=2,TRUNC(($A28*0.8-(BU151+0.1))/$P$87*2000*PI()*0.8,0),""))</f>
        <v>931</v>
      </c>
      <c r="BW151" s="713"/>
      <c r="BX151" s="704">
        <f t="shared" ca="1" si="90"/>
        <v>2.4633575384615383</v>
      </c>
      <c r="BY151" s="707">
        <f t="shared" ca="1" si="91"/>
        <v>5715.8</v>
      </c>
      <c r="BZ151" s="707">
        <f t="shared" ca="1" si="92"/>
        <v>285.79000000000002</v>
      </c>
      <c r="CA151" s="699">
        <f t="shared" ca="1" si="93"/>
        <v>0.1214475</v>
      </c>
      <c r="CB151" s="699">
        <f ca="1">IF(Data!$C$59=1,TRUNC(($A28*0.9-CA151)/$P$86*2000*PI()*0.8,0),IF(Data!$C$59=2,TRUNC(($A28*0.8-(CA151+0.1))/$P$86*2000*PI()*0.8,0),""))</f>
        <v>3511</v>
      </c>
    </row>
    <row r="152" spans="1:80" s="586" customFormat="1">
      <c r="L152" s="641"/>
      <c r="M152" s="641"/>
      <c r="N152" s="641"/>
      <c r="O152" s="641"/>
      <c r="U152" s="707">
        <f t="shared" ca="1" si="60"/>
        <v>240</v>
      </c>
      <c r="V152" s="707">
        <f t="shared" ca="1" si="61"/>
        <v>1440</v>
      </c>
      <c r="W152" s="704">
        <f t="shared" ca="1" si="62"/>
        <v>0.26639999999999997</v>
      </c>
      <c r="X152" s="704">
        <f t="shared" ca="1" si="54"/>
        <v>0.26639999999999997</v>
      </c>
      <c r="Y152" s="704">
        <f t="shared" ca="1" si="63"/>
        <v>0.29599999999999999</v>
      </c>
      <c r="Z152" s="704">
        <f ca="1">IF(Data!$E$83=1,Data!$L$117+Data!$F$59+X152/Data!$L$116/Data!$E$59/Data!$L$115,Data!$E$90+Data!$F$59+X152/Data!$G$90/Data!$E$59/Data!$D$90)</f>
        <v>0.29599999999999999</v>
      </c>
      <c r="AA152" s="704">
        <f t="shared" ca="1" si="64"/>
        <v>0.84312000000000009</v>
      </c>
      <c r="AB152" s="699">
        <f ca="1">IF(Data!$C$59=1,TRUNC(($A95*0.9-W152)/$P$89*2000*PI()*0.8,0),IF(Data!$C$59=2,TRUNC(($A95*0.8-(W152+0.1))/$P$89*2000*PI()*0.8,0),""))</f>
        <v>247</v>
      </c>
      <c r="AC152" s="699"/>
      <c r="AD152" s="712"/>
      <c r="AE152" s="707">
        <f t="shared" ca="1" si="65"/>
        <v>96</v>
      </c>
      <c r="AF152" s="707">
        <f t="shared" ca="1" si="66"/>
        <v>1440</v>
      </c>
      <c r="AG152" s="704">
        <f t="shared" ca="1" si="67"/>
        <v>0.10360000000000001</v>
      </c>
      <c r="AH152" s="704">
        <f t="shared" ca="1" si="55"/>
        <v>0.10360000000000001</v>
      </c>
      <c r="AI152" s="704">
        <f t="shared" ca="1" si="68"/>
        <v>0.11511111111111112</v>
      </c>
      <c r="AJ152" s="704">
        <f ca="1">IF(Data!$E$83=1,Data!$L$117+Data!$F$59+AH152/Data!$L$116/Data!$E$59/Data!$L$115,Data!$E$90+Data!$F$59+AH152/Data!$G$90/Data!$E$59/Data!$D$90)</f>
        <v>0.11511111111111112</v>
      </c>
      <c r="AK152" s="704">
        <f t="shared" ca="1" si="69"/>
        <v>0.84312000000000009</v>
      </c>
      <c r="AL152" s="699">
        <f ca="1">IF(Data!$C$59=1,TRUNC(($A95*0.9-AG152)/$P$88*2000*PI()*0.8,0),IF(Data!$C$59=2,TRUNC(($A95*0.8-(AG152+0.1))/$P$88*2000*PI()*0.8,0),""))</f>
        <v>823</v>
      </c>
      <c r="AM152" s="712"/>
      <c r="AN152" s="707">
        <f t="shared" ca="1" si="70"/>
        <v>240</v>
      </c>
      <c r="AO152" s="707">
        <f t="shared" ca="1" si="71"/>
        <v>1440</v>
      </c>
      <c r="AP152" s="704">
        <f t="shared" ca="1" si="72"/>
        <v>0.20399999999999999</v>
      </c>
      <c r="AQ152" s="704">
        <f t="shared" ca="1" si="56"/>
        <v>0.20399999999999999</v>
      </c>
      <c r="AR152" s="704">
        <f t="shared" ca="1" si="73"/>
        <v>0.22666666666666666</v>
      </c>
      <c r="AS152" s="704">
        <f ca="1">IF(Data!$E$83=1,Data!$L$117+Data!$F$59+AQ152/Data!$L$116/Data!$E$59/Data!$L$115,Data!$E$90+Data!$F$59+AQ152/Data!$G$90/Data!$E$59/Data!$D$90)</f>
        <v>0.22666666666666666</v>
      </c>
      <c r="AT152" s="704">
        <f t="shared" ca="1" si="74"/>
        <v>0.84312000000000009</v>
      </c>
      <c r="AU152" s="699">
        <f ca="1">IF(Data!$C$59=1,TRUNC(($A95*0.9-AP152)/$P$87*2000*PI()*0.8,0),IF(Data!$C$59=2,TRUNC(($A95*0.8-(AP152+0.1))/$P$87*2000*PI()*0.8,0),""))</f>
        <v>278</v>
      </c>
      <c r="AV152" s="712"/>
      <c r="AW152" s="707">
        <f t="shared" ca="1" si="57"/>
        <v>72</v>
      </c>
      <c r="AX152" s="707">
        <f t="shared" ca="1" si="58"/>
        <v>1440</v>
      </c>
      <c r="AY152" s="704">
        <f t="shared" ca="1" si="75"/>
        <v>6.8000000000000005E-2</v>
      </c>
      <c r="AZ152" s="704">
        <f t="shared" ca="1" si="59"/>
        <v>6.8000000000000005E-2</v>
      </c>
      <c r="BA152" s="704">
        <f t="shared" ca="1" si="76"/>
        <v>7.5555555555555556E-2</v>
      </c>
      <c r="BB152" s="704">
        <f ca="1">IF(Data!$E$83=1,Data!$L$117+Data!$F$59+AZ152/Data!$L$116/Data!$E$59/Data!$L$115,Data!$E$90+Data!$F$59+AZ152/Data!$G$90/Data!$E$59/Data!$D$90)</f>
        <v>7.5555555555555556E-2</v>
      </c>
      <c r="BC152" s="704">
        <f t="shared" ca="1" si="77"/>
        <v>0.84312000000000009</v>
      </c>
      <c r="BD152" s="699">
        <f ca="1">IF(Data!$C$59=1,TRUNC(($A95*0.9-AY152)/$P$86*2000*PI()*0.8,0),IF(Data!$C$59=2,TRUNC(($A95*0.8-(AY152+0.1))/$P$86*2000*PI()*0.8,0),""))</f>
        <v>1157</v>
      </c>
      <c r="BE152" s="713"/>
      <c r="BF152" s="704">
        <f t="shared" ca="1" si="78"/>
        <v>2.4185944615384618</v>
      </c>
      <c r="BG152" s="707">
        <f t="shared" ca="1" si="79"/>
        <v>5803.3</v>
      </c>
      <c r="BH152" s="707">
        <f t="shared" ca="1" si="80"/>
        <v>967.2166666666667</v>
      </c>
      <c r="BI152" s="699">
        <f t="shared" ca="1" si="81"/>
        <v>0.52819799999999995</v>
      </c>
      <c r="BJ152" s="699">
        <f ca="1">IF(Data!$C$59=1,TRUNC(($A29*0.9-BI152)/$P$89*2000*PI()*0.8,0),IF(Data!$C$59=2,TRUNC(($A29*0.8-(BI152+0.1))/$P$89*2000*PI()*0.8,0),""))</f>
        <v>828</v>
      </c>
      <c r="BK152" s="713"/>
      <c r="BL152" s="704">
        <f t="shared" ca="1" si="82"/>
        <v>2.4185944615384618</v>
      </c>
      <c r="BM152" s="707">
        <f t="shared" ca="1" si="83"/>
        <v>5803.3</v>
      </c>
      <c r="BN152" s="707">
        <f t="shared" ca="1" si="84"/>
        <v>386.88666666666666</v>
      </c>
      <c r="BO152" s="699">
        <f t="shared" ca="1" si="85"/>
        <v>0.20541033333333336</v>
      </c>
      <c r="BP152" s="699">
        <f ca="1">IF(Data!$C$59=1,TRUNC(($A29*0.9-BO152)/$P$88*2000*PI()*0.8,0),IF(Data!$C$59=2,TRUNC(($A29*0.8-(BO152+0.1))/$P$88*2000*PI()*0.8,0),""))</f>
        <v>2477</v>
      </c>
      <c r="BQ152" s="713"/>
      <c r="BR152" s="704">
        <f t="shared" ca="1" si="86"/>
        <v>2.4185944615384618</v>
      </c>
      <c r="BS152" s="707">
        <f t="shared" ca="1" si="87"/>
        <v>5803.3</v>
      </c>
      <c r="BT152" s="707">
        <f t="shared" ca="1" si="88"/>
        <v>967.2166666666667</v>
      </c>
      <c r="BU152" s="699">
        <f t="shared" ca="1" si="89"/>
        <v>0.36762375000000003</v>
      </c>
      <c r="BV152" s="699">
        <f ca="1">IF(Data!$C$59=1,TRUNC(($A29*0.9-BU152)/$P$87*2000*PI()*0.8,0),IF(Data!$C$59=2,TRUNC(($A29*0.8-(BU152+0.1))/$P$87*2000*PI()*0.8,0),""))</f>
        <v>909</v>
      </c>
      <c r="BW152" s="713"/>
      <c r="BX152" s="704">
        <f t="shared" ca="1" si="90"/>
        <v>2.4185944615384618</v>
      </c>
      <c r="BY152" s="707">
        <f t="shared" ca="1" si="91"/>
        <v>5803.3</v>
      </c>
      <c r="BZ152" s="707">
        <f t="shared" ca="1" si="92"/>
        <v>290.16499999999996</v>
      </c>
      <c r="CA152" s="699">
        <f t="shared" ca="1" si="93"/>
        <v>0.12254125</v>
      </c>
      <c r="CB152" s="699">
        <f ca="1">IF(Data!$C$59=1,TRUNC(($A29*0.9-CA152)/$P$86*2000*PI()*0.8,0),IF(Data!$C$59=2,TRUNC(($A29*0.8-(CA152+0.1))/$P$86*2000*PI()*0.8,0),""))</f>
        <v>3441</v>
      </c>
    </row>
    <row r="153" spans="1:80" s="586" customFormat="1">
      <c r="A153" s="586" t="s">
        <v>1762</v>
      </c>
      <c r="L153" s="641"/>
      <c r="M153" s="641"/>
      <c r="N153" s="641"/>
      <c r="O153" s="641"/>
      <c r="U153" s="707">
        <f t="shared" ca="1" si="60"/>
        <v>266.66666666666669</v>
      </c>
      <c r="V153" s="707">
        <f t="shared" ca="1" si="61"/>
        <v>1600</v>
      </c>
      <c r="W153" s="704">
        <f t="shared" ca="1" si="62"/>
        <v>0.27600000000000002</v>
      </c>
      <c r="X153" s="704">
        <f t="shared" ca="1" si="54"/>
        <v>0.27600000000000002</v>
      </c>
      <c r="Y153" s="704">
        <f t="shared" ca="1" si="63"/>
        <v>0.3066666666666667</v>
      </c>
      <c r="Z153" s="704">
        <f ca="1">IF(Data!$E$83=1,Data!$L$117+Data!$F$59+X153/Data!$L$116/Data!$E$59/Data!$L$115,Data!$E$90+Data!$F$59+X153/Data!$G$90/Data!$E$59/Data!$D$90)</f>
        <v>0.3066666666666667</v>
      </c>
      <c r="AA153" s="704">
        <f t="shared" ca="1" si="64"/>
        <v>0.84056000000000008</v>
      </c>
      <c r="AB153" s="699">
        <f ca="1">IF(Data!$C$59=1,TRUNC(($A96*0.9-W153)/$P$89*2000*PI()*0.8,0),IF(Data!$C$59=2,TRUNC(($A96*0.8-(W153+0.1))/$P$89*2000*PI()*0.8,0),""))</f>
        <v>241</v>
      </c>
      <c r="AC153" s="699"/>
      <c r="AD153" s="712"/>
      <c r="AE153" s="707">
        <f t="shared" ca="1" si="65"/>
        <v>106.66666666666667</v>
      </c>
      <c r="AF153" s="707">
        <f t="shared" ca="1" si="66"/>
        <v>1600</v>
      </c>
      <c r="AG153" s="704">
        <f t="shared" ca="1" si="67"/>
        <v>0.10733333333333334</v>
      </c>
      <c r="AH153" s="704">
        <f t="shared" ca="1" si="55"/>
        <v>0.10733333333333334</v>
      </c>
      <c r="AI153" s="704">
        <f t="shared" ca="1" si="68"/>
        <v>0.11925925925925926</v>
      </c>
      <c r="AJ153" s="704">
        <f ca="1">IF(Data!$E$83=1,Data!$L$117+Data!$F$59+AH153/Data!$L$116/Data!$E$59/Data!$L$115,Data!$E$90+Data!$F$59+AH153/Data!$G$90/Data!$E$59/Data!$D$90)</f>
        <v>0.11925925925925926</v>
      </c>
      <c r="AK153" s="704">
        <f t="shared" ca="1" si="69"/>
        <v>0.84056000000000008</v>
      </c>
      <c r="AL153" s="699">
        <f ca="1">IF(Data!$C$59=1,TRUNC(($A96*0.9-AG153)/$P$88*2000*PI()*0.8,0),IF(Data!$C$59=2,TRUNC(($A96*0.8-(AG153+0.1))/$P$88*2000*PI()*0.8,0),""))</f>
        <v>815</v>
      </c>
      <c r="AM153" s="712"/>
      <c r="AN153" s="707">
        <f t="shared" ca="1" si="70"/>
        <v>266.66666666666669</v>
      </c>
      <c r="AO153" s="707">
        <f t="shared" ca="1" si="71"/>
        <v>1600</v>
      </c>
      <c r="AP153" s="704">
        <f t="shared" ca="1" si="72"/>
        <v>0.21</v>
      </c>
      <c r="AQ153" s="704">
        <f t="shared" ca="1" si="56"/>
        <v>0.21</v>
      </c>
      <c r="AR153" s="704">
        <f t="shared" ca="1" si="73"/>
        <v>0.23333333333333331</v>
      </c>
      <c r="AS153" s="704">
        <f ca="1">IF(Data!$E$83=1,Data!$L$117+Data!$F$59+AQ153/Data!$L$116/Data!$E$59/Data!$L$115,Data!$E$90+Data!$F$59+AQ153/Data!$G$90/Data!$E$59/Data!$D$90)</f>
        <v>0.23333333333333331</v>
      </c>
      <c r="AT153" s="704">
        <f t="shared" ca="1" si="74"/>
        <v>0.84056000000000008</v>
      </c>
      <c r="AU153" s="699">
        <f ca="1">IF(Data!$C$59=1,TRUNC(($A96*0.9-AP153)/$P$87*2000*PI()*0.8,0),IF(Data!$C$59=2,TRUNC(($A96*0.8-(AP153+0.1))/$P$87*2000*PI()*0.8,0),""))</f>
        <v>274</v>
      </c>
      <c r="AV153" s="712"/>
      <c r="AW153" s="707">
        <f t="shared" ca="1" si="57"/>
        <v>80</v>
      </c>
      <c r="AX153" s="707">
        <f t="shared" ca="1" si="58"/>
        <v>1600</v>
      </c>
      <c r="AY153" s="704">
        <f t="shared" ca="1" si="75"/>
        <v>7.0000000000000007E-2</v>
      </c>
      <c r="AZ153" s="704">
        <f t="shared" ca="1" si="59"/>
        <v>7.0000000000000007E-2</v>
      </c>
      <c r="BA153" s="704">
        <f t="shared" ca="1" si="76"/>
        <v>7.7777777777777779E-2</v>
      </c>
      <c r="BB153" s="704">
        <f ca="1">IF(Data!$E$83=1,Data!$L$117+Data!$F$59+AZ153/Data!$L$116/Data!$E$59/Data!$L$115,Data!$E$90+Data!$F$59+AZ153/Data!$G$90/Data!$E$59/Data!$D$90)</f>
        <v>7.7777777777777779E-2</v>
      </c>
      <c r="BC153" s="704">
        <f t="shared" ca="1" si="77"/>
        <v>0.84056000000000008</v>
      </c>
      <c r="BD153" s="699">
        <f ca="1">IF(Data!$C$59=1,TRUNC(($A96*0.9-AY153)/$P$86*2000*PI()*0.8,0),IF(Data!$C$59=2,TRUNC(($A96*0.8-(AY153+0.1))/$P$86*2000*PI()*0.8,0),""))</f>
        <v>1150</v>
      </c>
      <c r="BE153" s="713"/>
      <c r="BF153" s="704">
        <f t="shared" ca="1" si="78"/>
        <v>2.3732349890109892</v>
      </c>
      <c r="BG153" s="707">
        <f t="shared" ca="1" si="79"/>
        <v>5892.4</v>
      </c>
      <c r="BH153" s="707">
        <f t="shared" ca="1" si="80"/>
        <v>982.06666666666661</v>
      </c>
      <c r="BI153" s="699">
        <f t="shared" ca="1" si="81"/>
        <v>0.53354400000000002</v>
      </c>
      <c r="BJ153" s="699">
        <f ca="1">IF(Data!$C$59=1,TRUNC(($A30*0.9-BI153)/$P$89*2000*PI()*0.8,0),IF(Data!$C$59=2,TRUNC(($A30*0.8-(BI153+0.1))/$P$89*2000*PI()*0.8,0),""))</f>
        <v>805</v>
      </c>
      <c r="BK153" s="713"/>
      <c r="BL153" s="704">
        <f t="shared" ca="1" si="82"/>
        <v>2.3732349890109892</v>
      </c>
      <c r="BM153" s="707">
        <f t="shared" ca="1" si="83"/>
        <v>5892.4</v>
      </c>
      <c r="BN153" s="707">
        <f t="shared" ca="1" si="84"/>
        <v>392.82666666666665</v>
      </c>
      <c r="BO153" s="699">
        <f t="shared" ca="1" si="85"/>
        <v>0.20748933333333336</v>
      </c>
      <c r="BP153" s="699">
        <f ca="1">IF(Data!$C$59=1,TRUNC(($A30*0.9-BO153)/$P$88*2000*PI()*0.8,0),IF(Data!$C$59=2,TRUNC(($A30*0.8-(BO153+0.1))/$P$88*2000*PI()*0.8,0),""))</f>
        <v>2423</v>
      </c>
      <c r="BQ153" s="713"/>
      <c r="BR153" s="704">
        <f t="shared" ca="1" si="86"/>
        <v>2.3732349890109892</v>
      </c>
      <c r="BS153" s="707">
        <f t="shared" ca="1" si="87"/>
        <v>5892.4</v>
      </c>
      <c r="BT153" s="707">
        <f t="shared" ca="1" si="88"/>
        <v>982.06666666666661</v>
      </c>
      <c r="BU153" s="699">
        <f t="shared" ca="1" si="89"/>
        <v>0.37096499999999999</v>
      </c>
      <c r="BV153" s="699">
        <f ca="1">IF(Data!$C$59=1,TRUNC(($A30*0.9-BU153)/$P$87*2000*PI()*0.8,0),IF(Data!$C$59=2,TRUNC(($A30*0.8-(BU153+0.1))/$P$87*2000*PI()*0.8,0),""))</f>
        <v>887</v>
      </c>
      <c r="BW153" s="713"/>
      <c r="BX153" s="704">
        <f t="shared" ca="1" si="90"/>
        <v>2.3732349890109892</v>
      </c>
      <c r="BY153" s="707">
        <f t="shared" ca="1" si="91"/>
        <v>5892.4</v>
      </c>
      <c r="BZ153" s="707">
        <f t="shared" ca="1" si="92"/>
        <v>294.62</v>
      </c>
      <c r="CA153" s="699">
        <f t="shared" ca="1" si="93"/>
        <v>0.123655</v>
      </c>
      <c r="CB153" s="699">
        <f ca="1">IF(Data!$C$59=1,TRUNC(($A30*0.9-CA153)/$P$86*2000*PI()*0.8,0),IF(Data!$C$59=2,TRUNC(($A30*0.8-(CA153+0.1))/$P$86*2000*PI()*0.8,0),""))</f>
        <v>3371</v>
      </c>
    </row>
    <row r="154" spans="1:80" s="586" customFormat="1">
      <c r="A154" s="586">
        <f ca="1">B13*MAX(($G$10/$H$10-($G$10/$H$10-$I$10/$D$10)/$D$10*B13),I10/D10)</f>
        <v>250.90909090909091</v>
      </c>
      <c r="B154" s="586">
        <v>0</v>
      </c>
      <c r="L154" s="641"/>
      <c r="M154" s="641"/>
      <c r="N154" s="641"/>
      <c r="O154" s="641"/>
      <c r="U154" s="707">
        <f t="shared" ca="1" si="60"/>
        <v>293.33333333333331</v>
      </c>
      <c r="V154" s="707">
        <f t="shared" ca="1" si="61"/>
        <v>1760</v>
      </c>
      <c r="W154" s="704">
        <f t="shared" ca="1" si="62"/>
        <v>0.28559999999999997</v>
      </c>
      <c r="X154" s="704">
        <f t="shared" ca="1" si="54"/>
        <v>0.28559999999999997</v>
      </c>
      <c r="Y154" s="704">
        <f t="shared" ca="1" si="63"/>
        <v>0.3173333333333333</v>
      </c>
      <c r="Z154" s="704">
        <f ca="1">IF(Data!$E$83=1,Data!$L$117+Data!$F$59+X154/Data!$L$116/Data!$E$59/Data!$L$115,Data!$E$90+Data!$F$59+X154/Data!$G$90/Data!$E$59/Data!$D$90)</f>
        <v>0.3173333333333333</v>
      </c>
      <c r="AA154" s="704">
        <f t="shared" ca="1" si="64"/>
        <v>0.83800000000000008</v>
      </c>
      <c r="AB154" s="699">
        <f ca="1">IF(Data!$C$59=1,TRUNC(($A97*0.9-W154)/$P$89*2000*PI()*0.8,0),IF(Data!$C$59=2,TRUNC(($A97*0.8-(W154+0.1))/$P$89*2000*PI()*0.8,0),""))</f>
        <v>235</v>
      </c>
      <c r="AC154" s="699"/>
      <c r="AD154" s="712"/>
      <c r="AE154" s="707">
        <f t="shared" ca="1" si="65"/>
        <v>117.33333333333333</v>
      </c>
      <c r="AF154" s="707">
        <f t="shared" ca="1" si="66"/>
        <v>1760</v>
      </c>
      <c r="AG154" s="704">
        <f t="shared" ca="1" si="67"/>
        <v>0.11106666666666667</v>
      </c>
      <c r="AH154" s="704">
        <f t="shared" ca="1" si="55"/>
        <v>0.11106666666666667</v>
      </c>
      <c r="AI154" s="704">
        <f t="shared" ca="1" si="68"/>
        <v>0.12340740740740741</v>
      </c>
      <c r="AJ154" s="704">
        <f ca="1">IF(Data!$E$83=1,Data!$L$117+Data!$F$59+AH154/Data!$L$116/Data!$E$59/Data!$L$115,Data!$E$90+Data!$F$59+AH154/Data!$G$90/Data!$E$59/Data!$D$90)</f>
        <v>0.12340740740740741</v>
      </c>
      <c r="AK154" s="704">
        <f t="shared" ca="1" si="69"/>
        <v>0.83800000000000008</v>
      </c>
      <c r="AL154" s="699">
        <f ca="1">IF(Data!$C$59=1,TRUNC(($A97*0.9-AG154)/$P$88*2000*PI()*0.8,0),IF(Data!$C$59=2,TRUNC(($A97*0.8-(AG154+0.1))/$P$88*2000*PI()*0.8,0),""))</f>
        <v>808</v>
      </c>
      <c r="AM154" s="712"/>
      <c r="AN154" s="707">
        <f t="shared" ca="1" si="70"/>
        <v>293.33333333333331</v>
      </c>
      <c r="AO154" s="707">
        <f t="shared" ca="1" si="71"/>
        <v>1760</v>
      </c>
      <c r="AP154" s="704">
        <f t="shared" ca="1" si="72"/>
        <v>0.216</v>
      </c>
      <c r="AQ154" s="704">
        <f t="shared" ca="1" si="56"/>
        <v>0.216</v>
      </c>
      <c r="AR154" s="704">
        <f t="shared" ca="1" si="73"/>
        <v>0.24</v>
      </c>
      <c r="AS154" s="704">
        <f ca="1">IF(Data!$E$83=1,Data!$L$117+Data!$F$59+AQ154/Data!$L$116/Data!$E$59/Data!$L$115,Data!$E$90+Data!$F$59+AQ154/Data!$G$90/Data!$E$59/Data!$D$90)</f>
        <v>0.24</v>
      </c>
      <c r="AT154" s="704">
        <f t="shared" ca="1" si="74"/>
        <v>0.83800000000000008</v>
      </c>
      <c r="AU154" s="699">
        <f ca="1">IF(Data!$C$59=1,TRUNC(($A97*0.9-AP154)/$P$87*2000*PI()*0.8,0),IF(Data!$C$59=2,TRUNC(($A97*0.8-(AP154+0.1))/$P$87*2000*PI()*0.8,0),""))</f>
        <v>270</v>
      </c>
      <c r="AV154" s="712"/>
      <c r="AW154" s="707">
        <f t="shared" ca="1" si="57"/>
        <v>88</v>
      </c>
      <c r="AX154" s="707">
        <f t="shared" ca="1" si="58"/>
        <v>1760</v>
      </c>
      <c r="AY154" s="704">
        <f t="shared" ca="1" si="75"/>
        <v>7.2000000000000008E-2</v>
      </c>
      <c r="AZ154" s="704">
        <f t="shared" ca="1" si="59"/>
        <v>7.2000000000000008E-2</v>
      </c>
      <c r="BA154" s="704">
        <f t="shared" ca="1" si="76"/>
        <v>0.08</v>
      </c>
      <c r="BB154" s="704">
        <f ca="1">IF(Data!$E$83=1,Data!$L$117+Data!$F$59+AZ154/Data!$L$116/Data!$E$59/Data!$L$115,Data!$E$90+Data!$F$59+AZ154/Data!$G$90/Data!$E$59/Data!$D$90)</f>
        <v>0.08</v>
      </c>
      <c r="BC154" s="704">
        <f t="shared" ca="1" si="77"/>
        <v>0.83800000000000008</v>
      </c>
      <c r="BD154" s="699">
        <f ca="1">IF(Data!$C$59=1,TRUNC(($A97*0.9-AY154)/$P$86*2000*PI()*0.8,0),IF(Data!$C$59=2,TRUNC(($A97*0.8-(AY154+0.1))/$P$86*2000*PI()*0.8,0),""))</f>
        <v>1143</v>
      </c>
      <c r="BE154" s="713"/>
      <c r="BF154" s="704">
        <f t="shared" ca="1" si="78"/>
        <v>2.3272791208791213</v>
      </c>
      <c r="BG154" s="707">
        <f t="shared" ca="1" si="79"/>
        <v>5983.2</v>
      </c>
      <c r="BH154" s="707">
        <f t="shared" ca="1" si="80"/>
        <v>997.2</v>
      </c>
      <c r="BI154" s="699">
        <f t="shared" ca="1" si="81"/>
        <v>0.53899199999999992</v>
      </c>
      <c r="BJ154" s="699">
        <f ca="1">IF(Data!$C$59=1,TRUNC(($A31*0.9-BI154)/$P$89*2000*PI()*0.8,0),IF(Data!$C$59=2,TRUNC(($A31*0.8-(BI154+0.1))/$P$89*2000*PI()*0.8,0),""))</f>
        <v>781</v>
      </c>
      <c r="BK154" s="713"/>
      <c r="BL154" s="704">
        <f t="shared" ca="1" si="82"/>
        <v>2.3272791208791213</v>
      </c>
      <c r="BM154" s="707">
        <f t="shared" ca="1" si="83"/>
        <v>5983.2</v>
      </c>
      <c r="BN154" s="707">
        <f t="shared" ca="1" si="84"/>
        <v>398.88</v>
      </c>
      <c r="BO154" s="699">
        <f t="shared" ca="1" si="85"/>
        <v>0.20960800000000002</v>
      </c>
      <c r="BP154" s="699">
        <f ca="1">IF(Data!$C$59=1,TRUNC(($A31*0.9-BO154)/$P$88*2000*PI()*0.8,0),IF(Data!$C$59=2,TRUNC(($A31*0.8-(BO154+0.1))/$P$88*2000*PI()*0.8,0),""))</f>
        <v>2368</v>
      </c>
      <c r="BQ154" s="713"/>
      <c r="BR154" s="704">
        <f t="shared" ca="1" si="86"/>
        <v>2.3272791208791213</v>
      </c>
      <c r="BS154" s="707">
        <f t="shared" ca="1" si="87"/>
        <v>5983.2</v>
      </c>
      <c r="BT154" s="707">
        <f t="shared" ca="1" si="88"/>
        <v>997.2</v>
      </c>
      <c r="BU154" s="699">
        <f t="shared" ca="1" si="89"/>
        <v>0.37436999999999998</v>
      </c>
      <c r="BV154" s="699">
        <f ca="1">IF(Data!$C$59=1,TRUNC(($A31*0.9-BU154)/$P$87*2000*PI()*0.8,0),IF(Data!$C$59=2,TRUNC(($A31*0.8-(BU154+0.1))/$P$87*2000*PI()*0.8,0),""))</f>
        <v>864</v>
      </c>
      <c r="BW154" s="713"/>
      <c r="BX154" s="704">
        <f t="shared" ca="1" si="90"/>
        <v>2.3272791208791213</v>
      </c>
      <c r="BY154" s="707">
        <f t="shared" ca="1" si="91"/>
        <v>5983.2</v>
      </c>
      <c r="BZ154" s="707">
        <f t="shared" ca="1" si="92"/>
        <v>299.15999999999997</v>
      </c>
      <c r="CA154" s="699">
        <f t="shared" ca="1" si="93"/>
        <v>0.12479000000000001</v>
      </c>
      <c r="CB154" s="699">
        <f ca="1">IF(Data!$C$59=1,TRUNC(($A31*0.9-CA154)/$P$86*2000*PI()*0.8,0),IF(Data!$C$59=2,TRUNC(($A31*0.8-(CA154+0.1))/$P$86*2000*PI()*0.8,0),""))</f>
        <v>3300</v>
      </c>
    </row>
    <row r="155" spans="1:80" s="586" customFormat="1">
      <c r="A155" s="586">
        <f ca="1">A154</f>
        <v>250.90909090909091</v>
      </c>
      <c r="B155" s="586">
        <f ca="1">B71*1.05</f>
        <v>8400</v>
      </c>
      <c r="L155" s="641"/>
      <c r="M155" s="641"/>
      <c r="N155" s="620"/>
      <c r="O155" s="641"/>
      <c r="U155" s="707">
        <f t="shared" ca="1" si="60"/>
        <v>320</v>
      </c>
      <c r="V155" s="707">
        <f t="shared" ca="1" si="61"/>
        <v>1920</v>
      </c>
      <c r="W155" s="704">
        <f t="shared" ca="1" si="62"/>
        <v>0.29520000000000002</v>
      </c>
      <c r="X155" s="704">
        <f t="shared" ca="1" si="54"/>
        <v>0.29520000000000002</v>
      </c>
      <c r="Y155" s="704">
        <f t="shared" ca="1" si="63"/>
        <v>0.32800000000000001</v>
      </c>
      <c r="Z155" s="704">
        <f ca="1">IF(Data!$E$83=1,Data!$L$117+Data!$F$59+X155/Data!$L$116/Data!$E$59/Data!$L$115,Data!$E$90+Data!$F$59+X155/Data!$G$90/Data!$E$59/Data!$D$90)</f>
        <v>0.32800000000000001</v>
      </c>
      <c r="AA155" s="704">
        <f t="shared" ca="1" si="64"/>
        <v>0.83544000000000007</v>
      </c>
      <c r="AB155" s="699">
        <f ca="1">IF(Data!$C$59=1,TRUNC(($A98*0.9-W155)/$P$89*2000*PI()*0.8,0),IF(Data!$C$59=2,TRUNC(($A98*0.8-(W155+0.1))/$P$89*2000*PI()*0.8,0),""))</f>
        <v>229</v>
      </c>
      <c r="AC155" s="699"/>
      <c r="AD155" s="712"/>
      <c r="AE155" s="707">
        <f t="shared" ca="1" si="65"/>
        <v>128</v>
      </c>
      <c r="AF155" s="707">
        <f t="shared" ca="1" si="66"/>
        <v>1920</v>
      </c>
      <c r="AG155" s="704">
        <f t="shared" ca="1" si="67"/>
        <v>0.11480000000000001</v>
      </c>
      <c r="AH155" s="704">
        <f t="shared" ca="1" si="55"/>
        <v>0.11480000000000001</v>
      </c>
      <c r="AI155" s="704">
        <f t="shared" ca="1" si="68"/>
        <v>0.12755555555555556</v>
      </c>
      <c r="AJ155" s="704">
        <f ca="1">IF(Data!$E$83=1,Data!$L$117+Data!$F$59+AH155/Data!$L$116/Data!$E$59/Data!$L$115,Data!$E$90+Data!$F$59+AH155/Data!$G$90/Data!$E$59/Data!$D$90)</f>
        <v>0.12755555555555556</v>
      </c>
      <c r="AK155" s="704">
        <f t="shared" ca="1" si="69"/>
        <v>0.83544000000000007</v>
      </c>
      <c r="AL155" s="699">
        <f ca="1">IF(Data!$C$59=1,TRUNC(($A98*0.9-AG155)/$P$88*2000*PI()*0.8,0),IF(Data!$C$59=2,TRUNC(($A98*0.8-(AG155+0.1))/$P$88*2000*PI()*0.8,0),""))</f>
        <v>800</v>
      </c>
      <c r="AM155" s="712"/>
      <c r="AN155" s="707">
        <f t="shared" ca="1" si="70"/>
        <v>320</v>
      </c>
      <c r="AO155" s="707">
        <f t="shared" ca="1" si="71"/>
        <v>1920</v>
      </c>
      <c r="AP155" s="704">
        <f t="shared" ca="1" si="72"/>
        <v>0.22199999999999998</v>
      </c>
      <c r="AQ155" s="704">
        <f t="shared" ca="1" si="56"/>
        <v>0.22199999999999998</v>
      </c>
      <c r="AR155" s="704">
        <f t="shared" ca="1" si="73"/>
        <v>0.24666666666666665</v>
      </c>
      <c r="AS155" s="704">
        <f ca="1">IF(Data!$E$83=1,Data!$L$117+Data!$F$59+AQ155/Data!$L$116/Data!$E$59/Data!$L$115,Data!$E$90+Data!$F$59+AQ155/Data!$G$90/Data!$E$59/Data!$D$90)</f>
        <v>0.24666666666666665</v>
      </c>
      <c r="AT155" s="704">
        <f t="shared" ca="1" si="74"/>
        <v>0.83544000000000007</v>
      </c>
      <c r="AU155" s="699">
        <f ca="1">IF(Data!$C$59=1,TRUNC(($A98*0.9-AP155)/$P$87*2000*PI()*0.8,0),IF(Data!$C$59=2,TRUNC(($A98*0.8-(AP155+0.1))/$P$87*2000*PI()*0.8,0),""))</f>
        <v>266</v>
      </c>
      <c r="AV155" s="712"/>
      <c r="AW155" s="707">
        <f t="shared" ca="1" si="57"/>
        <v>96</v>
      </c>
      <c r="AX155" s="707">
        <f t="shared" ca="1" si="58"/>
        <v>1920</v>
      </c>
      <c r="AY155" s="704">
        <f t="shared" ca="1" si="75"/>
        <v>7.400000000000001E-2</v>
      </c>
      <c r="AZ155" s="704">
        <f t="shared" ca="1" si="59"/>
        <v>7.400000000000001E-2</v>
      </c>
      <c r="BA155" s="704">
        <f t="shared" ca="1" si="76"/>
        <v>8.2222222222222238E-2</v>
      </c>
      <c r="BB155" s="704">
        <f ca="1">IF(Data!$E$83=1,Data!$L$117+Data!$F$59+AZ155/Data!$L$116/Data!$E$59/Data!$L$115,Data!$E$90+Data!$F$59+AZ155/Data!$G$90/Data!$E$59/Data!$D$90)</f>
        <v>8.2222222222222238E-2</v>
      </c>
      <c r="BC155" s="704">
        <f t="shared" ca="1" si="77"/>
        <v>0.83544000000000007</v>
      </c>
      <c r="BD155" s="699">
        <f ca="1">IF(Data!$C$59=1,TRUNC(($A98*0.9-AY155)/$P$86*2000*PI()*0.8,0),IF(Data!$C$59=2,TRUNC(($A98*0.8-(AY155+0.1))/$P$86*2000*PI()*0.8,0),""))</f>
        <v>1135</v>
      </c>
      <c r="BE155" s="713"/>
      <c r="BF155" s="704">
        <f t="shared" ca="1" si="78"/>
        <v>2.2807268571428576</v>
      </c>
      <c r="BG155" s="707">
        <f t="shared" ca="1" si="79"/>
        <v>6075.6</v>
      </c>
      <c r="BH155" s="707">
        <f t="shared" ca="1" si="80"/>
        <v>1012.6</v>
      </c>
      <c r="BI155" s="699">
        <f t="shared" ca="1" si="81"/>
        <v>0.54453600000000002</v>
      </c>
      <c r="BJ155" s="699">
        <f ca="1">IF(Data!$C$59=1,TRUNC(($A32*0.9-BI155)/$P$89*2000*PI()*0.8,0),IF(Data!$C$59=2,TRUNC(($A32*0.8-(BI155+0.1))/$P$89*2000*PI()*0.8,0),""))</f>
        <v>758</v>
      </c>
      <c r="BK155" s="713"/>
      <c r="BL155" s="704">
        <f t="shared" ca="1" si="82"/>
        <v>2.2807268571428576</v>
      </c>
      <c r="BM155" s="707">
        <f t="shared" ca="1" si="83"/>
        <v>6075.6</v>
      </c>
      <c r="BN155" s="707">
        <f t="shared" ca="1" si="84"/>
        <v>405.04</v>
      </c>
      <c r="BO155" s="699">
        <f t="shared" ca="1" si="85"/>
        <v>0.21176400000000004</v>
      </c>
      <c r="BP155" s="699">
        <f ca="1">IF(Data!$C$59=1,TRUNC(($A32*0.9-BO155)/$P$88*2000*PI()*0.8,0),IF(Data!$C$59=2,TRUNC(($A32*0.8-(BO155+0.1))/$P$88*2000*PI()*0.8,0),""))</f>
        <v>2313</v>
      </c>
      <c r="BQ155" s="713"/>
      <c r="BR155" s="704">
        <f t="shared" ca="1" si="86"/>
        <v>2.2807268571428576</v>
      </c>
      <c r="BS155" s="707">
        <f t="shared" ca="1" si="87"/>
        <v>6075.6</v>
      </c>
      <c r="BT155" s="707">
        <f t="shared" ca="1" si="88"/>
        <v>1012.6</v>
      </c>
      <c r="BU155" s="699">
        <f t="shared" ca="1" si="89"/>
        <v>0.37783500000000003</v>
      </c>
      <c r="BV155" s="699">
        <f ca="1">IF(Data!$C$59=1,TRUNC(($A32*0.9-BU155)/$P$87*2000*PI()*0.8,0),IF(Data!$C$59=2,TRUNC(($A32*0.8-(BU155+0.1))/$P$87*2000*PI()*0.8,0),""))</f>
        <v>841</v>
      </c>
      <c r="BW155" s="713"/>
      <c r="BX155" s="704">
        <f t="shared" ca="1" si="90"/>
        <v>2.2807268571428576</v>
      </c>
      <c r="BY155" s="707">
        <f t="shared" ca="1" si="91"/>
        <v>6075.6</v>
      </c>
      <c r="BZ155" s="707">
        <f t="shared" ca="1" si="92"/>
        <v>303.78000000000003</v>
      </c>
      <c r="CA155" s="699">
        <f t="shared" ca="1" si="93"/>
        <v>0.12594500000000003</v>
      </c>
      <c r="CB155" s="699">
        <f ca="1">IF(Data!$C$59=1,TRUNC(($A32*0.9-CA155)/$P$86*2000*PI()*0.8,0),IF(Data!$C$59=2,TRUNC(($A32*0.8-(CA155+0.1))/$P$86*2000*PI()*0.8,0),""))</f>
        <v>3228</v>
      </c>
    </row>
    <row r="156" spans="1:80" s="586" customFormat="1">
      <c r="L156" s="641"/>
      <c r="M156" s="641"/>
      <c r="N156" s="620"/>
      <c r="O156" s="641"/>
      <c r="U156" s="707">
        <f t="shared" ca="1" si="60"/>
        <v>346.66666666666663</v>
      </c>
      <c r="V156" s="707">
        <f t="shared" ca="1" si="61"/>
        <v>2080</v>
      </c>
      <c r="W156" s="704">
        <f t="shared" ca="1" si="62"/>
        <v>0.30479999999999996</v>
      </c>
      <c r="X156" s="704">
        <f t="shared" ca="1" si="54"/>
        <v>0.30479999999999996</v>
      </c>
      <c r="Y156" s="704">
        <f t="shared" ca="1" si="63"/>
        <v>0.33866666666666662</v>
      </c>
      <c r="Z156" s="704">
        <f ca="1">IF(Data!$E$83=1,Data!$L$117+Data!$F$59+X156/Data!$L$116/Data!$E$59/Data!$L$115,Data!$E$90+Data!$F$59+X156/Data!$G$90/Data!$E$59/Data!$D$90)</f>
        <v>0.33866666666666662</v>
      </c>
      <c r="AA156" s="704">
        <f t="shared" ca="1" si="64"/>
        <v>0.83288000000000006</v>
      </c>
      <c r="AB156" s="699">
        <f ca="1">IF(Data!$C$59=1,TRUNC(($A99*0.9-W156)/$P$89*2000*PI()*0.8,0),IF(Data!$C$59=2,TRUNC(($A99*0.8-(W156+0.1))/$P$89*2000*PI()*0.8,0),""))</f>
        <v>223</v>
      </c>
      <c r="AC156" s="699"/>
      <c r="AD156" s="712"/>
      <c r="AE156" s="707">
        <f t="shared" ca="1" si="65"/>
        <v>138.66666666666666</v>
      </c>
      <c r="AF156" s="707">
        <f t="shared" ca="1" si="66"/>
        <v>2080</v>
      </c>
      <c r="AG156" s="704">
        <f t="shared" ca="1" si="67"/>
        <v>0.11853333333333335</v>
      </c>
      <c r="AH156" s="704">
        <f t="shared" ca="1" si="55"/>
        <v>0.11853333333333335</v>
      </c>
      <c r="AI156" s="704">
        <f t="shared" ca="1" si="68"/>
        <v>0.13170370370370371</v>
      </c>
      <c r="AJ156" s="704">
        <f ca="1">IF(Data!$E$83=1,Data!$L$117+Data!$F$59+AH156/Data!$L$116/Data!$E$59/Data!$L$115,Data!$E$90+Data!$F$59+AH156/Data!$G$90/Data!$E$59/Data!$D$90)</f>
        <v>0.13170370370370371</v>
      </c>
      <c r="AK156" s="704">
        <f t="shared" ca="1" si="69"/>
        <v>0.83288000000000006</v>
      </c>
      <c r="AL156" s="699">
        <f ca="1">IF(Data!$C$59=1,TRUNC(($A99*0.9-AG156)/$P$88*2000*PI()*0.8,0),IF(Data!$C$59=2,TRUNC(($A99*0.8-(AG156+0.1))/$P$88*2000*PI()*0.8,0),""))</f>
        <v>793</v>
      </c>
      <c r="AM156" s="712"/>
      <c r="AN156" s="707">
        <f t="shared" ca="1" si="70"/>
        <v>346.66666666666663</v>
      </c>
      <c r="AO156" s="707">
        <f t="shared" ca="1" si="71"/>
        <v>2080</v>
      </c>
      <c r="AP156" s="704">
        <f t="shared" ca="1" si="72"/>
        <v>0.22799999999999998</v>
      </c>
      <c r="AQ156" s="704">
        <f t="shared" ca="1" si="56"/>
        <v>0.22799999999999998</v>
      </c>
      <c r="AR156" s="704">
        <f t="shared" ca="1" si="73"/>
        <v>0.2533333333333333</v>
      </c>
      <c r="AS156" s="704">
        <f ca="1">IF(Data!$E$83=1,Data!$L$117+Data!$F$59+AQ156/Data!$L$116/Data!$E$59/Data!$L$115,Data!$E$90+Data!$F$59+AQ156/Data!$G$90/Data!$E$59/Data!$D$90)</f>
        <v>0.2533333333333333</v>
      </c>
      <c r="AT156" s="704">
        <f t="shared" ca="1" si="74"/>
        <v>0.83288000000000006</v>
      </c>
      <c r="AU156" s="699">
        <f ca="1">IF(Data!$C$59=1,TRUNC(($A99*0.9-AP156)/$P$87*2000*PI()*0.8,0),IF(Data!$C$59=2,TRUNC(($A99*0.8-(AP156+0.1))/$P$87*2000*PI()*0.8,0),""))</f>
        <v>262</v>
      </c>
      <c r="AV156" s="712"/>
      <c r="AW156" s="707">
        <f t="shared" ca="1" si="57"/>
        <v>104</v>
      </c>
      <c r="AX156" s="707">
        <f t="shared" ca="1" si="58"/>
        <v>2080</v>
      </c>
      <c r="AY156" s="704">
        <f t="shared" ca="1" si="75"/>
        <v>7.6000000000000012E-2</v>
      </c>
      <c r="AZ156" s="704">
        <f t="shared" ca="1" si="59"/>
        <v>7.6000000000000012E-2</v>
      </c>
      <c r="BA156" s="704">
        <f t="shared" ca="1" si="76"/>
        <v>8.4444444444444461E-2</v>
      </c>
      <c r="BB156" s="704">
        <f ca="1">IF(Data!$E$83=1,Data!$L$117+Data!$F$59+AZ156/Data!$L$116/Data!$E$59/Data!$L$115,Data!$E$90+Data!$F$59+AZ156/Data!$G$90/Data!$E$59/Data!$D$90)</f>
        <v>8.4444444444444461E-2</v>
      </c>
      <c r="BC156" s="704">
        <f t="shared" ca="1" si="77"/>
        <v>0.83288000000000006</v>
      </c>
      <c r="BD156" s="699">
        <f ca="1">IF(Data!$C$59=1,TRUNC(($A99*0.9-AY156)/$P$86*2000*PI()*0.8,0),IF(Data!$C$59=2,TRUNC(($A99*0.8-(AY156+0.1))/$P$86*2000*PI()*0.8,0),""))</f>
        <v>1128</v>
      </c>
      <c r="BE156" s="713"/>
      <c r="BF156" s="704">
        <f t="shared" ca="1" si="78"/>
        <v>2.2335781978021974</v>
      </c>
      <c r="BG156" s="707">
        <f t="shared" ca="1" si="79"/>
        <v>6169.7</v>
      </c>
      <c r="BH156" s="707">
        <f t="shared" ca="1" si="80"/>
        <v>1028.2833333333333</v>
      </c>
      <c r="BI156" s="699">
        <f t="shared" ca="1" si="81"/>
        <v>0.55018199999999995</v>
      </c>
      <c r="BJ156" s="699">
        <f ca="1">IF(Data!$C$59=1,TRUNC(($A33*0.9-BI156)/$P$89*2000*PI()*0.8,0),IF(Data!$C$59=2,TRUNC(($A33*0.8-(BI156+0.1))/$P$89*2000*PI()*0.8,0),""))</f>
        <v>733</v>
      </c>
      <c r="BK156" s="713"/>
      <c r="BL156" s="704">
        <f t="shared" ca="1" si="82"/>
        <v>2.2335781978021974</v>
      </c>
      <c r="BM156" s="707">
        <f t="shared" ca="1" si="83"/>
        <v>6169.7</v>
      </c>
      <c r="BN156" s="707">
        <f t="shared" ca="1" si="84"/>
        <v>411.31333333333333</v>
      </c>
      <c r="BO156" s="699">
        <f t="shared" ca="1" si="85"/>
        <v>0.21395966666666666</v>
      </c>
      <c r="BP156" s="699">
        <f ca="1">IF(Data!$C$59=1,TRUNC(($A33*0.9-BO156)/$P$88*2000*PI()*0.8,0),IF(Data!$C$59=2,TRUNC(($A33*0.8-(BO156+0.1))/$P$88*2000*PI()*0.8,0),""))</f>
        <v>2257</v>
      </c>
      <c r="BQ156" s="713"/>
      <c r="BR156" s="704">
        <f t="shared" ca="1" si="86"/>
        <v>2.2335781978021974</v>
      </c>
      <c r="BS156" s="707">
        <f t="shared" ca="1" si="87"/>
        <v>6169.7</v>
      </c>
      <c r="BT156" s="707">
        <f t="shared" ca="1" si="88"/>
        <v>1028.2833333333333</v>
      </c>
      <c r="BU156" s="699">
        <f t="shared" ca="1" si="89"/>
        <v>0.38136375</v>
      </c>
      <c r="BV156" s="699">
        <f ca="1">IF(Data!$C$59=1,TRUNC(($A33*0.9-BU156)/$P$87*2000*PI()*0.8,0),IF(Data!$C$59=2,TRUNC(($A33*0.8-(BU156+0.1))/$P$87*2000*PI()*0.8,0),""))</f>
        <v>818</v>
      </c>
      <c r="BW156" s="713"/>
      <c r="BX156" s="704">
        <f t="shared" ca="1" si="90"/>
        <v>2.2335781978021974</v>
      </c>
      <c r="BY156" s="707">
        <f t="shared" ca="1" si="91"/>
        <v>6169.7</v>
      </c>
      <c r="BZ156" s="707">
        <f t="shared" ca="1" si="92"/>
        <v>308.48500000000001</v>
      </c>
      <c r="CA156" s="699">
        <f t="shared" ca="1" si="93"/>
        <v>0.12712125000000002</v>
      </c>
      <c r="CB156" s="699">
        <f ca="1">IF(Data!$C$59=1,TRUNC(($A33*0.9-CA156)/$P$86*2000*PI()*0.8,0),IF(Data!$C$59=2,TRUNC(($A33*0.8-(CA156+0.1))/$P$86*2000*PI()*0.8,0),""))</f>
        <v>3155</v>
      </c>
    </row>
    <row r="157" spans="1:80" s="586" customFormat="1">
      <c r="L157" s="620">
        <v>0</v>
      </c>
      <c r="M157" s="620">
        <v>470</v>
      </c>
      <c r="U157" s="707">
        <f t="shared" ca="1" si="60"/>
        <v>373.33333333333337</v>
      </c>
      <c r="V157" s="707">
        <f t="shared" ca="1" si="61"/>
        <v>2240</v>
      </c>
      <c r="W157" s="704">
        <f t="shared" ca="1" si="62"/>
        <v>0.31440000000000001</v>
      </c>
      <c r="X157" s="704">
        <f t="shared" ca="1" si="54"/>
        <v>0.31440000000000001</v>
      </c>
      <c r="Y157" s="704">
        <f t="shared" ca="1" si="63"/>
        <v>0.34933333333333333</v>
      </c>
      <c r="Z157" s="704">
        <f ca="1">IF(Data!$E$83=1,Data!$L$117+Data!$F$59+X157/Data!$L$116/Data!$E$59/Data!$L$115,Data!$E$90+Data!$F$59+X157/Data!$G$90/Data!$E$59/Data!$D$90)</f>
        <v>0.34933333333333333</v>
      </c>
      <c r="AA157" s="704">
        <f t="shared" ca="1" si="64"/>
        <v>0.83032000000000006</v>
      </c>
      <c r="AB157" s="699">
        <f ca="1">IF(Data!$C$59=1,TRUNC(($A100*0.9-W157)/$P$89*2000*PI()*0.8,0),IF(Data!$C$59=2,TRUNC(($A100*0.8-(W157+0.1))/$P$89*2000*PI()*0.8,0),""))</f>
        <v>217</v>
      </c>
      <c r="AC157" s="699"/>
      <c r="AD157" s="712"/>
      <c r="AE157" s="707">
        <f t="shared" ca="1" si="65"/>
        <v>149.33333333333334</v>
      </c>
      <c r="AF157" s="707">
        <f t="shared" ca="1" si="66"/>
        <v>2240</v>
      </c>
      <c r="AG157" s="704">
        <f t="shared" ca="1" si="67"/>
        <v>0.12226666666666669</v>
      </c>
      <c r="AH157" s="704">
        <f t="shared" ca="1" si="55"/>
        <v>0.12226666666666669</v>
      </c>
      <c r="AI157" s="704">
        <f t="shared" ca="1" si="68"/>
        <v>0.13585185185185186</v>
      </c>
      <c r="AJ157" s="704">
        <f ca="1">IF(Data!$E$83=1,Data!$L$117+Data!$F$59+AH157/Data!$L$116/Data!$E$59/Data!$L$115,Data!$E$90+Data!$F$59+AH157/Data!$G$90/Data!$E$59/Data!$D$90)</f>
        <v>0.13585185185185186</v>
      </c>
      <c r="AK157" s="704">
        <f t="shared" ca="1" si="69"/>
        <v>0.83032000000000006</v>
      </c>
      <c r="AL157" s="699">
        <f ca="1">IF(Data!$C$59=1,TRUNC(($A100*0.9-AG157)/$P$88*2000*PI()*0.8,0),IF(Data!$C$59=2,TRUNC(($A100*0.8-(AG157+0.1))/$P$88*2000*PI()*0.8,0),""))</f>
        <v>785</v>
      </c>
      <c r="AM157" s="712"/>
      <c r="AN157" s="707">
        <f t="shared" ca="1" si="70"/>
        <v>373.33333333333337</v>
      </c>
      <c r="AO157" s="707">
        <f t="shared" ca="1" si="71"/>
        <v>2240</v>
      </c>
      <c r="AP157" s="704">
        <f t="shared" ca="1" si="72"/>
        <v>0.23399999999999999</v>
      </c>
      <c r="AQ157" s="704">
        <f t="shared" ca="1" si="56"/>
        <v>0.23399999999999999</v>
      </c>
      <c r="AR157" s="704">
        <f t="shared" ca="1" si="73"/>
        <v>0.25999999999999995</v>
      </c>
      <c r="AS157" s="704">
        <f ca="1">IF(Data!$E$83=1,Data!$L$117+Data!$F$59+AQ157/Data!$L$116/Data!$E$59/Data!$L$115,Data!$E$90+Data!$F$59+AQ157/Data!$G$90/Data!$E$59/Data!$D$90)</f>
        <v>0.25999999999999995</v>
      </c>
      <c r="AT157" s="704">
        <f t="shared" ca="1" si="74"/>
        <v>0.83032000000000006</v>
      </c>
      <c r="AU157" s="699">
        <f ca="1">IF(Data!$C$59=1,TRUNC(($A100*0.9-AP157)/$P$87*2000*PI()*0.8,0),IF(Data!$C$59=2,TRUNC(($A100*0.8-(AP157+0.1))/$P$87*2000*PI()*0.8,0),""))</f>
        <v>258</v>
      </c>
      <c r="AV157" s="712"/>
      <c r="AW157" s="707">
        <f t="shared" ca="1" si="57"/>
        <v>112</v>
      </c>
      <c r="AX157" s="707">
        <f t="shared" ca="1" si="58"/>
        <v>2240</v>
      </c>
      <c r="AY157" s="704">
        <f t="shared" ca="1" si="75"/>
        <v>7.8000000000000014E-2</v>
      </c>
      <c r="AZ157" s="704">
        <f t="shared" ca="1" si="59"/>
        <v>7.8000000000000014E-2</v>
      </c>
      <c r="BA157" s="704">
        <f t="shared" ca="1" si="76"/>
        <v>8.6666666666666684E-2</v>
      </c>
      <c r="BB157" s="704">
        <f ca="1">IF(Data!$E$83=1,Data!$L$117+Data!$F$59+AZ157/Data!$L$116/Data!$E$59/Data!$L$115,Data!$E$90+Data!$F$59+AZ157/Data!$G$90/Data!$E$59/Data!$D$90)</f>
        <v>8.6666666666666684E-2</v>
      </c>
      <c r="BC157" s="704">
        <f t="shared" ca="1" si="77"/>
        <v>0.83032000000000006</v>
      </c>
      <c r="BD157" s="699">
        <f ca="1">IF(Data!$C$59=1,TRUNC(($A100*0.9-AY157)/$P$86*2000*PI()*0.8,0),IF(Data!$C$59=2,TRUNC(($A100*0.8-(AY157+0.1))/$P$86*2000*PI()*0.8,0),""))</f>
        <v>1121</v>
      </c>
      <c r="BE157" s="713"/>
      <c r="BF157" s="704">
        <f t="shared" ca="1" si="78"/>
        <v>2.1858331428571427</v>
      </c>
      <c r="BG157" s="707">
        <f t="shared" ca="1" si="79"/>
        <v>6265.5</v>
      </c>
      <c r="BH157" s="707">
        <f t="shared" ca="1" si="80"/>
        <v>1044.25</v>
      </c>
      <c r="BI157" s="699">
        <f t="shared" ca="1" si="81"/>
        <v>0.55592999999999992</v>
      </c>
      <c r="BJ157" s="699">
        <f ca="1">IF(Data!$C$59=1,TRUNC(($A34*0.9-BI157)/$P$89*2000*PI()*0.8,0),IF(Data!$C$59=2,TRUNC(($A34*0.8-(BI157+0.1))/$P$89*2000*PI()*0.8,0),""))</f>
        <v>709</v>
      </c>
      <c r="BK157" s="713"/>
      <c r="BL157" s="704">
        <f t="shared" ca="1" si="82"/>
        <v>2.1858331428571427</v>
      </c>
      <c r="BM157" s="707">
        <f t="shared" ca="1" si="83"/>
        <v>6265.5</v>
      </c>
      <c r="BN157" s="707">
        <f t="shared" ca="1" si="84"/>
        <v>417.7</v>
      </c>
      <c r="BO157" s="699">
        <f t="shared" ca="1" si="85"/>
        <v>0.216195</v>
      </c>
      <c r="BP157" s="699">
        <f ca="1">IF(Data!$C$59=1,TRUNC(($A34*0.9-BO157)/$P$88*2000*PI()*0.8,0),IF(Data!$C$59=2,TRUNC(($A34*0.8-(BO157+0.1))/$P$88*2000*PI()*0.8,0),""))</f>
        <v>2200</v>
      </c>
      <c r="BQ157" s="713"/>
      <c r="BR157" s="704">
        <f t="shared" ca="1" si="86"/>
        <v>2.1858331428571427</v>
      </c>
      <c r="BS157" s="707">
        <f t="shared" ca="1" si="87"/>
        <v>6265.5</v>
      </c>
      <c r="BT157" s="707">
        <f t="shared" ca="1" si="88"/>
        <v>1044.25</v>
      </c>
      <c r="BU157" s="699">
        <f t="shared" ca="1" si="89"/>
        <v>0.38495625</v>
      </c>
      <c r="BV157" s="699">
        <f ca="1">IF(Data!$C$59=1,TRUNC(($A34*0.9-BU157)/$P$87*2000*PI()*0.8,0),IF(Data!$C$59=2,TRUNC(($A34*0.8-(BU157+0.1))/$P$87*2000*PI()*0.8,0),""))</f>
        <v>795</v>
      </c>
      <c r="BW157" s="713"/>
      <c r="BX157" s="704">
        <f t="shared" ca="1" si="90"/>
        <v>2.1858331428571427</v>
      </c>
      <c r="BY157" s="707">
        <f t="shared" ca="1" si="91"/>
        <v>6265.5</v>
      </c>
      <c r="BZ157" s="707">
        <f t="shared" ca="1" si="92"/>
        <v>313.27499999999998</v>
      </c>
      <c r="CA157" s="699">
        <f t="shared" ca="1" si="93"/>
        <v>0.12831875000000001</v>
      </c>
      <c r="CB157" s="699">
        <f ca="1">IF(Data!$C$59=1,TRUNC(($A34*0.9-CA157)/$P$86*2000*PI()*0.8,0),IF(Data!$C$59=2,TRUNC(($A34*0.8-(CA157+0.1))/$P$86*2000*PI()*0.8,0),""))</f>
        <v>3081</v>
      </c>
    </row>
    <row r="158" spans="1:80">
      <c r="U158" s="707">
        <f t="shared" ca="1" si="60"/>
        <v>400</v>
      </c>
      <c r="V158" s="707">
        <f t="shared" ca="1" si="61"/>
        <v>2400</v>
      </c>
      <c r="W158" s="704">
        <f t="shared" ca="1" si="62"/>
        <v>0.32399999999999995</v>
      </c>
      <c r="X158" s="704">
        <f t="shared" ca="1" si="54"/>
        <v>0.32399999999999995</v>
      </c>
      <c r="Y158" s="704">
        <f t="shared" ca="1" si="63"/>
        <v>0.35999999999999993</v>
      </c>
      <c r="Z158" s="704">
        <f ca="1">IF(Data!$E$83=1,Data!$L$117+Data!$F$59+X158/Data!$L$116/Data!$E$59/Data!$L$115,Data!$E$90+Data!$F$59+X158/Data!$G$90/Data!$E$59/Data!$D$90)</f>
        <v>0.35999999999999993</v>
      </c>
      <c r="AA158" s="704">
        <f t="shared" ca="1" si="64"/>
        <v>0.82776000000000005</v>
      </c>
      <c r="AB158" s="699">
        <f ca="1">IF(Data!$C$59=1,TRUNC(($A101*0.9-W158)/$P$89*2000*PI()*0.8,0),IF(Data!$C$59=2,TRUNC(($A101*0.8-(W158+0.1))/$P$89*2000*PI()*0.8,0),""))</f>
        <v>211</v>
      </c>
      <c r="AC158" s="699"/>
      <c r="AD158" s="706"/>
      <c r="AE158" s="707">
        <f t="shared" ca="1" si="65"/>
        <v>160</v>
      </c>
      <c r="AF158" s="707">
        <f t="shared" ca="1" si="66"/>
        <v>2400</v>
      </c>
      <c r="AG158" s="704">
        <f t="shared" ca="1" si="67"/>
        <v>0.126</v>
      </c>
      <c r="AH158" s="704">
        <f t="shared" ca="1" si="55"/>
        <v>0.126</v>
      </c>
      <c r="AI158" s="704">
        <f t="shared" ca="1" si="68"/>
        <v>0.13999999999999999</v>
      </c>
      <c r="AJ158" s="704">
        <f ca="1">IF(Data!$E$83=1,Data!$L$117+Data!$F$59+AH158/Data!$L$116/Data!$E$59/Data!$L$115,Data!$E$90+Data!$F$59+AH158/Data!$G$90/Data!$E$59/Data!$D$90)</f>
        <v>0.13999999999999999</v>
      </c>
      <c r="AK158" s="704">
        <f t="shared" ca="1" si="69"/>
        <v>0.82776000000000005</v>
      </c>
      <c r="AL158" s="699">
        <f ca="1">IF(Data!$C$59=1,TRUNC(($A101*0.9-AG158)/$P$88*2000*PI()*0.8,0),IF(Data!$C$59=2,TRUNC(($A101*0.8-(AG158+0.1))/$P$88*2000*PI()*0.8,0),""))</f>
        <v>777</v>
      </c>
      <c r="AM158" s="706"/>
      <c r="AN158" s="707">
        <f t="shared" ca="1" si="70"/>
        <v>400</v>
      </c>
      <c r="AO158" s="707">
        <f t="shared" ca="1" si="71"/>
        <v>2400</v>
      </c>
      <c r="AP158" s="704">
        <f t="shared" ca="1" si="72"/>
        <v>0.24</v>
      </c>
      <c r="AQ158" s="704">
        <f t="shared" ca="1" si="56"/>
        <v>0.24</v>
      </c>
      <c r="AR158" s="704">
        <f t="shared" ca="1" si="73"/>
        <v>0.26666666666666666</v>
      </c>
      <c r="AS158" s="704">
        <f ca="1">IF(Data!$E$83=1,Data!$L$117+Data!$F$59+AQ158/Data!$L$116/Data!$E$59/Data!$L$115,Data!$E$90+Data!$F$59+AQ158/Data!$G$90/Data!$E$59/Data!$D$90)</f>
        <v>0.26666666666666666</v>
      </c>
      <c r="AT158" s="704">
        <f t="shared" ca="1" si="74"/>
        <v>0.82776000000000005</v>
      </c>
      <c r="AU158" s="699">
        <f ca="1">IF(Data!$C$59=1,TRUNC(($A101*0.9-AP158)/$P$87*2000*PI()*0.8,0),IF(Data!$C$59=2,TRUNC(($A101*0.8-(AP158+0.1))/$P$87*2000*PI()*0.8,0),""))</f>
        <v>253</v>
      </c>
      <c r="AV158" s="706"/>
      <c r="AW158" s="707">
        <f t="shared" ca="1" si="57"/>
        <v>120</v>
      </c>
      <c r="AX158" s="707">
        <f t="shared" ca="1" si="58"/>
        <v>2400</v>
      </c>
      <c r="AY158" s="704">
        <f t="shared" ca="1" si="75"/>
        <v>0.08</v>
      </c>
      <c r="AZ158" s="704">
        <f t="shared" ca="1" si="59"/>
        <v>0.08</v>
      </c>
      <c r="BA158" s="704">
        <f t="shared" ca="1" si="76"/>
        <v>8.8888888888888892E-2</v>
      </c>
      <c r="BB158" s="704">
        <f ca="1">IF(Data!$E$83=1,Data!$L$117+Data!$F$59+AZ158/Data!$L$116/Data!$E$59/Data!$L$115,Data!$E$90+Data!$F$59+AZ158/Data!$G$90/Data!$E$59/Data!$D$90)</f>
        <v>8.8888888888888892E-2</v>
      </c>
      <c r="BC158" s="704">
        <f t="shared" ca="1" si="77"/>
        <v>0.82776000000000005</v>
      </c>
      <c r="BD158" s="699">
        <f ca="1">IF(Data!$C$59=1,TRUNC(($A101*0.9-AY158)/$P$86*2000*PI()*0.8,0),IF(Data!$C$59=2,TRUNC(($A101*0.8-(AY158+0.1))/$P$86*2000*PI()*0.8,0),""))</f>
        <v>1114</v>
      </c>
      <c r="BE158" s="699"/>
      <c r="BF158" s="704">
        <f t="shared" ca="1" si="78"/>
        <v>2.1374916923076923</v>
      </c>
      <c r="BG158" s="707">
        <f t="shared" ca="1" si="79"/>
        <v>6362.9</v>
      </c>
      <c r="BH158" s="707">
        <f t="shared" ca="1" si="80"/>
        <v>1060.4833333333333</v>
      </c>
      <c r="BI158" s="699">
        <f t="shared" ca="1" si="81"/>
        <v>0.561774</v>
      </c>
      <c r="BJ158" s="699">
        <f ca="1">IF(Data!$C$59=1,TRUNC(($A35*0.9-BI158)/$P$89*2000*PI()*0.8,0),IF(Data!$C$59=2,TRUNC(($A35*0.8-(BI158+0.1))/$P$89*2000*PI()*0.8,0),""))</f>
        <v>684</v>
      </c>
      <c r="BK158" s="699"/>
      <c r="BL158" s="704">
        <f t="shared" ca="1" si="82"/>
        <v>2.1374916923076923</v>
      </c>
      <c r="BM158" s="707">
        <f t="shared" ca="1" si="83"/>
        <v>6362.9</v>
      </c>
      <c r="BN158" s="707">
        <f t="shared" ca="1" si="84"/>
        <v>424.19333333333333</v>
      </c>
      <c r="BO158" s="699">
        <f t="shared" ca="1" si="85"/>
        <v>0.21846766666666667</v>
      </c>
      <c r="BP158" s="699">
        <f ca="1">IF(Data!$C$59=1,TRUNC(($A35*0.9-BO158)/$P$88*2000*PI()*0.8,0),IF(Data!$C$59=2,TRUNC(($A35*0.8-(BO158+0.1))/$P$88*2000*PI()*0.8,0),""))</f>
        <v>2142</v>
      </c>
      <c r="BQ158" s="699"/>
      <c r="BR158" s="704">
        <f t="shared" ca="1" si="86"/>
        <v>2.1374916923076923</v>
      </c>
      <c r="BS158" s="707">
        <f t="shared" ca="1" si="87"/>
        <v>6362.9</v>
      </c>
      <c r="BT158" s="707">
        <f t="shared" ca="1" si="88"/>
        <v>1060.4833333333333</v>
      </c>
      <c r="BU158" s="699">
        <f t="shared" ca="1" si="89"/>
        <v>0.38860874999999995</v>
      </c>
      <c r="BV158" s="699">
        <f ca="1">IF(Data!$C$59=1,TRUNC(($A35*0.9-BU158)/$P$87*2000*PI()*0.8,0),IF(Data!$C$59=2,TRUNC(($A35*0.8-(BU158+0.1))/$P$87*2000*PI()*0.8,0),""))</f>
        <v>771</v>
      </c>
      <c r="BW158" s="699"/>
      <c r="BX158" s="704">
        <f t="shared" ca="1" si="90"/>
        <v>2.1374916923076923</v>
      </c>
      <c r="BY158" s="707">
        <f t="shared" ca="1" si="91"/>
        <v>6362.9</v>
      </c>
      <c r="BZ158" s="707">
        <f t="shared" ca="1" si="92"/>
        <v>318.14499999999998</v>
      </c>
      <c r="CA158" s="699">
        <f t="shared" ca="1" si="93"/>
        <v>0.12953625000000002</v>
      </c>
      <c r="CB158" s="699">
        <f ca="1">IF(Data!$C$59=1,TRUNC(($A35*0.9-CA158)/$P$86*2000*PI()*0.8,0),IF(Data!$C$59=2,TRUNC(($A35*0.8-(CA158+0.1))/$P$86*2000*PI()*0.8,0),""))</f>
        <v>3006</v>
      </c>
    </row>
    <row r="159" spans="1:80">
      <c r="U159" s="707">
        <f t="shared" ca="1" si="60"/>
        <v>426.66666666666663</v>
      </c>
      <c r="V159" s="707">
        <f t="shared" ca="1" si="61"/>
        <v>2560</v>
      </c>
      <c r="W159" s="704">
        <f t="shared" ca="1" si="62"/>
        <v>0.33360000000000001</v>
      </c>
      <c r="X159" s="704">
        <f t="shared" ca="1" si="54"/>
        <v>0.33360000000000001</v>
      </c>
      <c r="Y159" s="704">
        <f t="shared" ca="1" si="63"/>
        <v>0.37066666666666664</v>
      </c>
      <c r="Z159" s="704">
        <f ca="1">IF(Data!$E$83=1,Data!$L$117+Data!$F$59+X159/Data!$L$116/Data!$E$59/Data!$L$115,Data!$E$90+Data!$F$59+X159/Data!$G$90/Data!$E$59/Data!$D$90)</f>
        <v>0.37066666666666664</v>
      </c>
      <c r="AA159" s="704">
        <f t="shared" ca="1" si="64"/>
        <v>0.82520000000000004</v>
      </c>
      <c r="AB159" s="699">
        <f ca="1">IF(Data!$C$59=1,TRUNC(($A102*0.9-W159)/$P$89*2000*PI()*0.8,0),IF(Data!$C$59=2,TRUNC(($A102*0.8-(W159+0.1))/$P$89*2000*PI()*0.8,0),""))</f>
        <v>205</v>
      </c>
      <c r="AC159" s="699"/>
      <c r="AD159" s="706"/>
      <c r="AE159" s="707">
        <f t="shared" ca="1" si="65"/>
        <v>170.66666666666666</v>
      </c>
      <c r="AF159" s="707">
        <f t="shared" ca="1" si="66"/>
        <v>2560</v>
      </c>
      <c r="AG159" s="704">
        <f t="shared" ca="1" si="67"/>
        <v>0.12973333333333334</v>
      </c>
      <c r="AH159" s="704">
        <f t="shared" ca="1" si="55"/>
        <v>0.12973333333333334</v>
      </c>
      <c r="AI159" s="704">
        <f t="shared" ca="1" si="68"/>
        <v>0.14414814814814816</v>
      </c>
      <c r="AJ159" s="704">
        <f ca="1">IF(Data!$E$83=1,Data!$L$117+Data!$F$59+AH159/Data!$L$116/Data!$E$59/Data!$L$115,Data!$E$90+Data!$F$59+AH159/Data!$G$90/Data!$E$59/Data!$D$90)</f>
        <v>0.14414814814814816</v>
      </c>
      <c r="AK159" s="704">
        <f t="shared" ca="1" si="69"/>
        <v>0.82520000000000004</v>
      </c>
      <c r="AL159" s="699">
        <f ca="1">IF(Data!$C$59=1,TRUNC(($A102*0.9-AG159)/$P$88*2000*PI()*0.8,0),IF(Data!$C$59=2,TRUNC(($A102*0.8-(AG159+0.1))/$P$88*2000*PI()*0.8,0),""))</f>
        <v>770</v>
      </c>
      <c r="AM159" s="706"/>
      <c r="AN159" s="707">
        <f t="shared" ca="1" si="70"/>
        <v>426.66666666666663</v>
      </c>
      <c r="AO159" s="707">
        <f t="shared" ca="1" si="71"/>
        <v>2560</v>
      </c>
      <c r="AP159" s="704">
        <f t="shared" ca="1" si="72"/>
        <v>0.246</v>
      </c>
      <c r="AQ159" s="704">
        <f t="shared" ca="1" si="56"/>
        <v>0.246</v>
      </c>
      <c r="AR159" s="704">
        <f t="shared" ca="1" si="73"/>
        <v>0.27333333333333332</v>
      </c>
      <c r="AS159" s="704">
        <f ca="1">IF(Data!$E$83=1,Data!$L$117+Data!$F$59+AQ159/Data!$L$116/Data!$E$59/Data!$L$115,Data!$E$90+Data!$F$59+AQ159/Data!$G$90/Data!$E$59/Data!$D$90)</f>
        <v>0.27333333333333332</v>
      </c>
      <c r="AT159" s="704">
        <f t="shared" ca="1" si="74"/>
        <v>0.82520000000000004</v>
      </c>
      <c r="AU159" s="699">
        <f ca="1">IF(Data!$C$59=1,TRUNC(($A102*0.9-AP159)/$P$87*2000*PI()*0.8,0),IF(Data!$C$59=2,TRUNC(($A102*0.8-(AP159+0.1))/$P$87*2000*PI()*0.8,0),""))</f>
        <v>249</v>
      </c>
      <c r="AV159" s="706"/>
      <c r="AW159" s="707">
        <f t="shared" ca="1" si="57"/>
        <v>128</v>
      </c>
      <c r="AX159" s="707">
        <f t="shared" ca="1" si="58"/>
        <v>2560</v>
      </c>
      <c r="AY159" s="704">
        <f t="shared" ca="1" si="75"/>
        <v>8.2000000000000003E-2</v>
      </c>
      <c r="AZ159" s="704">
        <f t="shared" ca="1" si="59"/>
        <v>8.2000000000000003E-2</v>
      </c>
      <c r="BA159" s="704">
        <f t="shared" ca="1" si="76"/>
        <v>9.1111111111111115E-2</v>
      </c>
      <c r="BB159" s="704">
        <f ca="1">IF(Data!$E$83=1,Data!$L$117+Data!$F$59+AZ159/Data!$L$116/Data!$E$59/Data!$L$115,Data!$E$90+Data!$F$59+AZ159/Data!$G$90/Data!$E$59/Data!$D$90)</f>
        <v>9.1111111111111115E-2</v>
      </c>
      <c r="BC159" s="704">
        <f t="shared" ca="1" si="77"/>
        <v>0.82520000000000004</v>
      </c>
      <c r="BD159" s="699">
        <f ca="1">IF(Data!$C$59=1,TRUNC(($A102*0.9-AY159)/$P$86*2000*PI()*0.8,0),IF(Data!$C$59=2,TRUNC(($A102*0.8-(AY159+0.1))/$P$86*2000*PI()*0.8,0),""))</f>
        <v>1106</v>
      </c>
      <c r="BE159" s="699"/>
      <c r="BF159" s="704">
        <f t="shared" ca="1" si="78"/>
        <v>2.0885538461538462</v>
      </c>
      <c r="BG159" s="707">
        <f t="shared" ca="1" si="79"/>
        <v>6461.9</v>
      </c>
      <c r="BH159" s="707">
        <f t="shared" ca="1" si="80"/>
        <v>1076.9833333333331</v>
      </c>
      <c r="BI159" s="699">
        <f t="shared" ca="1" si="81"/>
        <v>0.56771399999999994</v>
      </c>
      <c r="BJ159" s="699">
        <f ca="1">IF(Data!$C$59=1,TRUNC(($A36*0.9-BI159)/$P$89*2000*PI()*0.8,0),IF(Data!$C$59=2,TRUNC(($A36*0.8-(BI159+0.1))/$P$89*2000*PI()*0.8,0),""))</f>
        <v>659</v>
      </c>
      <c r="BK159" s="699"/>
      <c r="BL159" s="704">
        <f t="shared" ca="1" si="82"/>
        <v>2.0885538461538462</v>
      </c>
      <c r="BM159" s="707">
        <f t="shared" ca="1" si="83"/>
        <v>6461.9</v>
      </c>
      <c r="BN159" s="707">
        <f t="shared" ca="1" si="84"/>
        <v>430.79333333333329</v>
      </c>
      <c r="BO159" s="699">
        <f t="shared" ca="1" si="85"/>
        <v>0.22077766666666668</v>
      </c>
      <c r="BP159" s="699">
        <f ca="1">IF(Data!$C$59=1,TRUNC(($A36*0.9-BO159)/$P$88*2000*PI()*0.8,0),IF(Data!$C$59=2,TRUNC(($A36*0.8-(BO159+0.1))/$P$88*2000*PI()*0.8,0),""))</f>
        <v>2084</v>
      </c>
      <c r="BQ159" s="699"/>
      <c r="BR159" s="704">
        <f t="shared" ca="1" si="86"/>
        <v>2.0885538461538462</v>
      </c>
      <c r="BS159" s="707">
        <f t="shared" ca="1" si="87"/>
        <v>6461.9</v>
      </c>
      <c r="BT159" s="707">
        <f t="shared" ca="1" si="88"/>
        <v>1076.9833333333331</v>
      </c>
      <c r="BU159" s="699">
        <f t="shared" ca="1" si="89"/>
        <v>0.39232124999999995</v>
      </c>
      <c r="BV159" s="699">
        <f ca="1">IF(Data!$C$59=1,TRUNC(($A36*0.9-BU159)/$P$87*2000*PI()*0.8,0),IF(Data!$C$59=2,TRUNC(($A36*0.8-(BU159+0.1))/$P$87*2000*PI()*0.8,0),""))</f>
        <v>747</v>
      </c>
      <c r="BW159" s="699"/>
      <c r="BX159" s="704">
        <f t="shared" ca="1" si="90"/>
        <v>2.0885538461538462</v>
      </c>
      <c r="BY159" s="707">
        <f t="shared" ca="1" si="91"/>
        <v>6461.9</v>
      </c>
      <c r="BZ159" s="707">
        <f t="shared" ca="1" si="92"/>
        <v>323.09499999999997</v>
      </c>
      <c r="CA159" s="699">
        <f t="shared" ca="1" si="93"/>
        <v>0.13077375000000002</v>
      </c>
      <c r="CB159" s="699">
        <f ca="1">IF(Data!$C$59=1,TRUNC(($A36*0.9-CA159)/$P$86*2000*PI()*0.8,0),IF(Data!$C$59=2,TRUNC(($A36*0.8-(CA159+0.1))/$P$86*2000*PI()*0.8,0),""))</f>
        <v>2930</v>
      </c>
    </row>
    <row r="160" spans="1:80">
      <c r="U160" s="707">
        <f t="shared" ca="1" si="60"/>
        <v>453.33333333333337</v>
      </c>
      <c r="V160" s="707">
        <f t="shared" ca="1" si="61"/>
        <v>2720</v>
      </c>
      <c r="W160" s="704">
        <f t="shared" ca="1" si="62"/>
        <v>0.34319999999999995</v>
      </c>
      <c r="X160" s="704">
        <f t="shared" ca="1" si="54"/>
        <v>0.34319999999999995</v>
      </c>
      <c r="Y160" s="704">
        <f t="shared" ca="1" si="63"/>
        <v>0.38133333333333325</v>
      </c>
      <c r="Z160" s="704">
        <f ca="1">IF(Data!$E$83=1,Data!$L$117+Data!$F$59+X160/Data!$L$116/Data!$E$59/Data!$L$115,Data!$E$90+Data!$F$59+X160/Data!$G$90/Data!$E$59/Data!$D$90)</f>
        <v>0.38133333333333325</v>
      </c>
      <c r="AA160" s="704">
        <f t="shared" ca="1" si="64"/>
        <v>0.82264000000000004</v>
      </c>
      <c r="AB160" s="699">
        <f ca="1">IF(Data!$C$59=1,TRUNC(($A103*0.9-W160)/$P$89*2000*PI()*0.8,0),IF(Data!$C$59=2,TRUNC(($A103*0.8-(W160+0.1))/$P$89*2000*PI()*0.8,0),""))</f>
        <v>199</v>
      </c>
      <c r="AC160" s="699"/>
      <c r="AD160" s="706"/>
      <c r="AE160" s="707">
        <f t="shared" ca="1" si="65"/>
        <v>181.33333333333334</v>
      </c>
      <c r="AF160" s="707">
        <f t="shared" ca="1" si="66"/>
        <v>2720</v>
      </c>
      <c r="AG160" s="704">
        <f t="shared" ca="1" si="67"/>
        <v>0.13346666666666668</v>
      </c>
      <c r="AH160" s="704">
        <f t="shared" ca="1" si="55"/>
        <v>0.13346666666666668</v>
      </c>
      <c r="AI160" s="704">
        <f t="shared" ca="1" si="68"/>
        <v>0.14829629629629631</v>
      </c>
      <c r="AJ160" s="704">
        <f ca="1">IF(Data!$E$83=1,Data!$L$117+Data!$F$59+AH160/Data!$L$116/Data!$E$59/Data!$L$115,Data!$E$90+Data!$F$59+AH160/Data!$G$90/Data!$E$59/Data!$D$90)</f>
        <v>0.14829629629629631</v>
      </c>
      <c r="AK160" s="704">
        <f t="shared" ca="1" si="69"/>
        <v>0.82264000000000004</v>
      </c>
      <c r="AL160" s="699">
        <f ca="1">IF(Data!$C$59=1,TRUNC(($A103*0.9-AG160)/$P$88*2000*PI()*0.8,0),IF(Data!$C$59=2,TRUNC(($A103*0.8-(AG160+0.1))/$P$88*2000*PI()*0.8,0),""))</f>
        <v>762</v>
      </c>
      <c r="AM160" s="706"/>
      <c r="AN160" s="707">
        <f t="shared" ca="1" si="70"/>
        <v>453.33333333333337</v>
      </c>
      <c r="AO160" s="707">
        <f t="shared" ca="1" si="71"/>
        <v>2720</v>
      </c>
      <c r="AP160" s="704">
        <f t="shared" ca="1" si="72"/>
        <v>0.252</v>
      </c>
      <c r="AQ160" s="704">
        <f t="shared" ca="1" si="56"/>
        <v>0.252</v>
      </c>
      <c r="AR160" s="704">
        <f t="shared" ca="1" si="73"/>
        <v>0.27999999999999997</v>
      </c>
      <c r="AS160" s="704">
        <f ca="1">IF(Data!$E$83=1,Data!$L$117+Data!$F$59+AQ160/Data!$L$116/Data!$E$59/Data!$L$115,Data!$E$90+Data!$F$59+AQ160/Data!$G$90/Data!$E$59/Data!$D$90)</f>
        <v>0.27999999999999997</v>
      </c>
      <c r="AT160" s="704">
        <f t="shared" ca="1" si="74"/>
        <v>0.82264000000000004</v>
      </c>
      <c r="AU160" s="699">
        <f ca="1">IF(Data!$C$59=1,TRUNC(($A103*0.9-AP160)/$P$87*2000*PI()*0.8,0),IF(Data!$C$59=2,TRUNC(($A103*0.8-(AP160+0.1))/$P$87*2000*PI()*0.8,0),""))</f>
        <v>245</v>
      </c>
      <c r="AV160" s="706"/>
      <c r="AW160" s="707">
        <f t="shared" ca="1" si="57"/>
        <v>136</v>
      </c>
      <c r="AX160" s="707">
        <f t="shared" ca="1" si="58"/>
        <v>2720</v>
      </c>
      <c r="AY160" s="704">
        <f t="shared" ca="1" si="75"/>
        <v>8.4000000000000005E-2</v>
      </c>
      <c r="AZ160" s="704">
        <f t="shared" ca="1" si="59"/>
        <v>8.4000000000000005E-2</v>
      </c>
      <c r="BA160" s="704">
        <f t="shared" ca="1" si="76"/>
        <v>9.3333333333333338E-2</v>
      </c>
      <c r="BB160" s="704">
        <f ca="1">IF(Data!$E$83=1,Data!$L$117+Data!$F$59+AZ160/Data!$L$116/Data!$E$59/Data!$L$115,Data!$E$90+Data!$F$59+AZ160/Data!$G$90/Data!$E$59/Data!$D$90)</f>
        <v>9.3333333333333338E-2</v>
      </c>
      <c r="BC160" s="704">
        <f t="shared" ca="1" si="77"/>
        <v>0.82264000000000004</v>
      </c>
      <c r="BD160" s="699">
        <f ca="1">IF(Data!$C$59=1,TRUNC(($A103*0.9-AY160)/$P$86*2000*PI()*0.8,0),IF(Data!$C$59=2,TRUNC(($A103*0.8-(AY160+0.1))/$P$86*2000*PI()*0.8,0),""))</f>
        <v>1099</v>
      </c>
      <c r="BE160" s="699"/>
      <c r="BF160" s="704">
        <f t="shared" ca="1" si="78"/>
        <v>2.0390196043956044</v>
      </c>
      <c r="BG160" s="707">
        <f t="shared" ca="1" si="79"/>
        <v>6562.5</v>
      </c>
      <c r="BH160" s="707">
        <f t="shared" ca="1" si="80"/>
        <v>1093.75</v>
      </c>
      <c r="BI160" s="699">
        <f t="shared" ca="1" si="81"/>
        <v>0.57374999999999998</v>
      </c>
      <c r="BJ160" s="699">
        <f ca="1">IF(Data!$C$59=1,TRUNC(($A37*0.9-BI160)/$P$89*2000*PI()*0.8,0),IF(Data!$C$59=2,TRUNC(($A37*0.8-(BI160+0.1))/$P$89*2000*PI()*0.8,0),""))</f>
        <v>634</v>
      </c>
      <c r="BK160" s="699"/>
      <c r="BL160" s="704">
        <f t="shared" ca="1" si="82"/>
        <v>2.0390196043956044</v>
      </c>
      <c r="BM160" s="707">
        <f t="shared" ca="1" si="83"/>
        <v>6562.5</v>
      </c>
      <c r="BN160" s="707">
        <f t="shared" ca="1" si="84"/>
        <v>437.5</v>
      </c>
      <c r="BO160" s="699">
        <f t="shared" ca="1" si="85"/>
        <v>0.22312500000000002</v>
      </c>
      <c r="BP160" s="699">
        <f ca="1">IF(Data!$C$59=1,TRUNC(($A37*0.9-BO160)/$P$88*2000*PI()*0.8,0),IF(Data!$C$59=2,TRUNC(($A37*0.8-(BO160+0.1))/$P$88*2000*PI()*0.8,0),""))</f>
        <v>2025</v>
      </c>
      <c r="BQ160" s="699"/>
      <c r="BR160" s="704">
        <f t="shared" ca="1" si="86"/>
        <v>2.0390196043956044</v>
      </c>
      <c r="BS160" s="707">
        <f t="shared" ca="1" si="87"/>
        <v>6562.5</v>
      </c>
      <c r="BT160" s="707">
        <f t="shared" ca="1" si="88"/>
        <v>1093.75</v>
      </c>
      <c r="BU160" s="699">
        <f t="shared" ca="1" si="89"/>
        <v>0.39609375000000002</v>
      </c>
      <c r="BV160" s="699">
        <f ca="1">IF(Data!$C$59=1,TRUNC(($A37*0.9-BU160)/$P$87*2000*PI()*0.8,0),IF(Data!$C$59=2,TRUNC(($A37*0.8-(BU160+0.1))/$P$87*2000*PI()*0.8,0),""))</f>
        <v>723</v>
      </c>
      <c r="BW160" s="699"/>
      <c r="BX160" s="704">
        <f t="shared" ca="1" si="90"/>
        <v>2.0390196043956044</v>
      </c>
      <c r="BY160" s="707">
        <f t="shared" ca="1" si="91"/>
        <v>6562.5</v>
      </c>
      <c r="BZ160" s="707">
        <f t="shared" ca="1" si="92"/>
        <v>328.125</v>
      </c>
      <c r="CA160" s="699">
        <f t="shared" ca="1" si="93"/>
        <v>0.13203124999999999</v>
      </c>
      <c r="CB160" s="699">
        <f ca="1">IF(Data!$C$59=1,TRUNC(($A37*0.9-CA160)/$P$86*2000*PI()*0.8,0),IF(Data!$C$59=2,TRUNC(($A37*0.8-(CA160+0.1))/$P$86*2000*PI()*0.8,0),""))</f>
        <v>2853</v>
      </c>
    </row>
    <row r="161" spans="21:80">
      <c r="U161" s="707">
        <f t="shared" ca="1" si="60"/>
        <v>480</v>
      </c>
      <c r="V161" s="707">
        <f t="shared" ca="1" si="61"/>
        <v>2880</v>
      </c>
      <c r="W161" s="704">
        <f t="shared" ca="1" si="62"/>
        <v>0.3528</v>
      </c>
      <c r="X161" s="704">
        <f t="shared" ca="1" si="54"/>
        <v>0.3528</v>
      </c>
      <c r="Y161" s="704">
        <f t="shared" ca="1" si="63"/>
        <v>0.39200000000000002</v>
      </c>
      <c r="Z161" s="704">
        <f ca="1">IF(Data!$E$83=1,Data!$L$117+Data!$F$59+X161/Data!$L$116/Data!$E$59/Data!$L$115,Data!$E$90+Data!$F$59+X161/Data!$G$90/Data!$E$59/Data!$D$90)</f>
        <v>0.39200000000000002</v>
      </c>
      <c r="AA161" s="704">
        <f t="shared" ca="1" si="64"/>
        <v>0.82008000000000003</v>
      </c>
      <c r="AB161" s="699">
        <f ca="1">IF(Data!$C$59=1,TRUNC(($A104*0.9-W161)/$P$89*2000*PI()*0.8,0),IF(Data!$C$59=2,TRUNC(($A104*0.8-(W161+0.1))/$P$89*2000*PI()*0.8,0),""))</f>
        <v>193</v>
      </c>
      <c r="AC161" s="699"/>
      <c r="AD161" s="706"/>
      <c r="AE161" s="707">
        <f t="shared" ca="1" si="65"/>
        <v>192</v>
      </c>
      <c r="AF161" s="707">
        <f t="shared" ca="1" si="66"/>
        <v>2880</v>
      </c>
      <c r="AG161" s="704">
        <f t="shared" ca="1" si="67"/>
        <v>0.13720000000000002</v>
      </c>
      <c r="AH161" s="704">
        <f t="shared" ca="1" si="55"/>
        <v>0.13720000000000002</v>
      </c>
      <c r="AI161" s="704">
        <f t="shared" ca="1" si="68"/>
        <v>0.15244444444444447</v>
      </c>
      <c r="AJ161" s="704">
        <f ca="1">IF(Data!$E$83=1,Data!$L$117+Data!$F$59+AH161/Data!$L$116/Data!$E$59/Data!$L$115,Data!$E$90+Data!$F$59+AH161/Data!$G$90/Data!$E$59/Data!$D$90)</f>
        <v>0.15244444444444447</v>
      </c>
      <c r="AK161" s="704">
        <f t="shared" ca="1" si="69"/>
        <v>0.82008000000000003</v>
      </c>
      <c r="AL161" s="699">
        <f ca="1">IF(Data!$C$59=1,TRUNC(($A104*0.9-AG161)/$P$88*2000*PI()*0.8,0),IF(Data!$C$59=2,TRUNC(($A104*0.8-(AG161+0.1))/$P$88*2000*PI()*0.8,0),""))</f>
        <v>755</v>
      </c>
      <c r="AM161" s="706"/>
      <c r="AN161" s="707">
        <f t="shared" ca="1" si="70"/>
        <v>480</v>
      </c>
      <c r="AO161" s="707">
        <f t="shared" ca="1" si="71"/>
        <v>2880</v>
      </c>
      <c r="AP161" s="704">
        <f t="shared" ca="1" si="72"/>
        <v>0.25800000000000001</v>
      </c>
      <c r="AQ161" s="704">
        <f t="shared" ca="1" si="56"/>
        <v>0.25800000000000001</v>
      </c>
      <c r="AR161" s="704">
        <f t="shared" ca="1" si="73"/>
        <v>0.28666666666666668</v>
      </c>
      <c r="AS161" s="704">
        <f ca="1">IF(Data!$E$83=1,Data!$L$117+Data!$F$59+AQ161/Data!$L$116/Data!$E$59/Data!$L$115,Data!$E$90+Data!$F$59+AQ161/Data!$G$90/Data!$E$59/Data!$D$90)</f>
        <v>0.28666666666666668</v>
      </c>
      <c r="AT161" s="704">
        <f t="shared" ca="1" si="74"/>
        <v>0.82008000000000003</v>
      </c>
      <c r="AU161" s="699">
        <f ca="1">IF(Data!$C$59=1,TRUNC(($A104*0.9-AP161)/$P$87*2000*PI()*0.8,0),IF(Data!$C$59=2,TRUNC(($A104*0.8-(AP161+0.1))/$P$87*2000*PI()*0.8,0),""))</f>
        <v>241</v>
      </c>
      <c r="AV161" s="706"/>
      <c r="AW161" s="707">
        <f t="shared" ca="1" si="57"/>
        <v>144</v>
      </c>
      <c r="AX161" s="707">
        <f t="shared" ca="1" si="58"/>
        <v>2880</v>
      </c>
      <c r="AY161" s="704">
        <f t="shared" ca="1" si="75"/>
        <v>8.5999999999999993E-2</v>
      </c>
      <c r="AZ161" s="704">
        <f t="shared" ca="1" si="59"/>
        <v>8.5999999999999993E-2</v>
      </c>
      <c r="BA161" s="704">
        <f t="shared" ca="1" si="76"/>
        <v>9.5555555555555546E-2</v>
      </c>
      <c r="BB161" s="704">
        <f ca="1">IF(Data!$E$83=1,Data!$L$117+Data!$F$59+AZ161/Data!$L$116/Data!$E$59/Data!$L$115,Data!$E$90+Data!$F$59+AZ161/Data!$G$90/Data!$E$59/Data!$D$90)</f>
        <v>9.5555555555555546E-2</v>
      </c>
      <c r="BC161" s="704">
        <f t="shared" ca="1" si="77"/>
        <v>0.82008000000000003</v>
      </c>
      <c r="BD161" s="699">
        <f ca="1">IF(Data!$C$59=1,TRUNC(($A104*0.9-AY161)/$P$86*2000*PI()*0.8,0),IF(Data!$C$59=2,TRUNC(($A104*0.8-(AY161+0.1))/$P$86*2000*PI()*0.8,0),""))</f>
        <v>1092</v>
      </c>
      <c r="BE161" s="699"/>
      <c r="BF161" s="704">
        <f t="shared" ca="1" si="78"/>
        <v>1.9888889670329672</v>
      </c>
      <c r="BG161" s="707">
        <f t="shared" ca="1" si="79"/>
        <v>6664.7</v>
      </c>
      <c r="BH161" s="707">
        <f t="shared" ca="1" si="80"/>
        <v>1110.7833333333333</v>
      </c>
      <c r="BI161" s="699">
        <f t="shared" ca="1" si="81"/>
        <v>0.57988200000000001</v>
      </c>
      <c r="BJ161" s="699">
        <f ca="1">IF(Data!$C$59=1,TRUNC(($A38*0.9-BI161)/$P$89*2000*PI()*0.8,0),IF(Data!$C$59=2,TRUNC(($A38*0.8-(BI161+0.1))/$P$89*2000*PI()*0.8,0),""))</f>
        <v>608</v>
      </c>
      <c r="BK161" s="699"/>
      <c r="BL161" s="704">
        <f t="shared" ca="1" si="82"/>
        <v>1.9888889670329672</v>
      </c>
      <c r="BM161" s="707">
        <f t="shared" ca="1" si="83"/>
        <v>6664.7</v>
      </c>
      <c r="BN161" s="707">
        <f t="shared" ca="1" si="84"/>
        <v>444.31333333333333</v>
      </c>
      <c r="BO161" s="699">
        <f t="shared" ca="1" si="85"/>
        <v>0.22550966666666666</v>
      </c>
      <c r="BP161" s="699">
        <f ca="1">IF(Data!$C$59=1,TRUNC(($A38*0.9-BO161)/$P$88*2000*PI()*0.8,0),IF(Data!$C$59=2,TRUNC(($A38*0.8-(BO161+0.1))/$P$88*2000*PI()*0.8,0),""))</f>
        <v>1965</v>
      </c>
      <c r="BQ161" s="699"/>
      <c r="BR161" s="704">
        <f t="shared" ca="1" si="86"/>
        <v>1.9888889670329672</v>
      </c>
      <c r="BS161" s="707">
        <f t="shared" ca="1" si="87"/>
        <v>6664.7</v>
      </c>
      <c r="BT161" s="707">
        <f t="shared" ca="1" si="88"/>
        <v>1110.7833333333333</v>
      </c>
      <c r="BU161" s="699">
        <f t="shared" ca="1" si="89"/>
        <v>0.39992624999999998</v>
      </c>
      <c r="BV161" s="699">
        <f ca="1">IF(Data!$C$59=1,TRUNC(($A38*0.9-BU161)/$P$87*2000*PI()*0.8,0),IF(Data!$C$59=2,TRUNC(($A38*0.8-(BU161+0.1))/$P$87*2000*PI()*0.8,0),""))</f>
        <v>698</v>
      </c>
      <c r="BW161" s="699"/>
      <c r="BX161" s="704">
        <f t="shared" ca="1" si="90"/>
        <v>1.9888889670329672</v>
      </c>
      <c r="BY161" s="707">
        <f t="shared" ca="1" si="91"/>
        <v>6664.7</v>
      </c>
      <c r="BZ161" s="707">
        <f t="shared" ca="1" si="92"/>
        <v>333.23500000000001</v>
      </c>
      <c r="CA161" s="699">
        <f t="shared" ca="1" si="93"/>
        <v>0.13330875</v>
      </c>
      <c r="CB161" s="699">
        <f ca="1">IF(Data!$C$59=1,TRUNC(($A38*0.9-CA161)/$P$86*2000*PI()*0.8,0),IF(Data!$C$59=2,TRUNC(($A38*0.8-(CA161+0.1))/$P$86*2000*PI()*0.8,0),""))</f>
        <v>2775</v>
      </c>
    </row>
    <row r="162" spans="21:80">
      <c r="U162" s="707">
        <f t="shared" ca="1" si="60"/>
        <v>506.66666666666663</v>
      </c>
      <c r="V162" s="707">
        <f t="shared" ca="1" si="61"/>
        <v>3040</v>
      </c>
      <c r="W162" s="704">
        <f t="shared" ca="1" si="62"/>
        <v>0.3624</v>
      </c>
      <c r="X162" s="704">
        <f t="shared" ca="1" si="54"/>
        <v>0.3624</v>
      </c>
      <c r="Y162" s="704">
        <f t="shared" ca="1" si="63"/>
        <v>0.40266666666666667</v>
      </c>
      <c r="Z162" s="704">
        <f ca="1">IF(Data!$E$83=1,Data!$L$117+Data!$F$59+X162/Data!$L$116/Data!$E$59/Data!$L$115,Data!$E$90+Data!$F$59+X162/Data!$G$90/Data!$E$59/Data!$D$90)</f>
        <v>0.40266666666666667</v>
      </c>
      <c r="AA162" s="704">
        <f t="shared" ca="1" si="64"/>
        <v>0.81752000000000002</v>
      </c>
      <c r="AB162" s="699">
        <f ca="1">IF(Data!$C$59=1,TRUNC(($A105*0.9-W162)/$P$89*2000*PI()*0.8,0),IF(Data!$C$59=2,TRUNC(($A105*0.8-(W162+0.1))/$P$89*2000*PI()*0.8,0),""))</f>
        <v>187</v>
      </c>
      <c r="AC162" s="699"/>
      <c r="AD162" s="706"/>
      <c r="AE162" s="707">
        <f t="shared" ca="1" si="65"/>
        <v>202.66666666666666</v>
      </c>
      <c r="AF162" s="707">
        <f t="shared" ca="1" si="66"/>
        <v>3040</v>
      </c>
      <c r="AG162" s="704">
        <f t="shared" ca="1" si="67"/>
        <v>0.14093333333333335</v>
      </c>
      <c r="AH162" s="704">
        <f t="shared" ca="1" si="55"/>
        <v>0.14093333333333335</v>
      </c>
      <c r="AI162" s="704">
        <f t="shared" ca="1" si="68"/>
        <v>0.15659259259259262</v>
      </c>
      <c r="AJ162" s="704">
        <f ca="1">IF(Data!$E$83=1,Data!$L$117+Data!$F$59+AH162/Data!$L$116/Data!$E$59/Data!$L$115,Data!$E$90+Data!$F$59+AH162/Data!$G$90/Data!$E$59/Data!$D$90)</f>
        <v>0.15659259259259262</v>
      </c>
      <c r="AK162" s="704">
        <f t="shared" ca="1" si="69"/>
        <v>0.81752000000000002</v>
      </c>
      <c r="AL162" s="699">
        <f ca="1">IF(Data!$C$59=1,TRUNC(($A105*0.9-AG162)/$P$88*2000*PI()*0.8,0),IF(Data!$C$59=2,TRUNC(($A105*0.8-(AG162+0.1))/$P$88*2000*PI()*0.8,0),""))</f>
        <v>747</v>
      </c>
      <c r="AM162" s="706"/>
      <c r="AN162" s="707">
        <f t="shared" ca="1" si="70"/>
        <v>506.66666666666663</v>
      </c>
      <c r="AO162" s="707">
        <f t="shared" ca="1" si="71"/>
        <v>3040</v>
      </c>
      <c r="AP162" s="704">
        <f t="shared" ca="1" si="72"/>
        <v>0.26400000000000001</v>
      </c>
      <c r="AQ162" s="704">
        <f t="shared" ca="1" si="56"/>
        <v>0.26400000000000001</v>
      </c>
      <c r="AR162" s="704">
        <f t="shared" ca="1" si="73"/>
        <v>0.29333333333333333</v>
      </c>
      <c r="AS162" s="704">
        <f ca="1">IF(Data!$E$83=1,Data!$L$117+Data!$F$59+AQ162/Data!$L$116/Data!$E$59/Data!$L$115,Data!$E$90+Data!$F$59+AQ162/Data!$G$90/Data!$E$59/Data!$D$90)</f>
        <v>0.29333333333333333</v>
      </c>
      <c r="AT162" s="704">
        <f t="shared" ca="1" si="74"/>
        <v>0.81752000000000002</v>
      </c>
      <c r="AU162" s="699">
        <f ca="1">IF(Data!$C$59=1,TRUNC(($A105*0.9-AP162)/$P$87*2000*PI()*0.8,0),IF(Data!$C$59=2,TRUNC(($A105*0.8-(AP162+0.1))/$P$87*2000*PI()*0.8,0),""))</f>
        <v>237</v>
      </c>
      <c r="AV162" s="706"/>
      <c r="AW162" s="707">
        <f t="shared" ca="1" si="57"/>
        <v>152</v>
      </c>
      <c r="AX162" s="707">
        <f t="shared" ca="1" si="58"/>
        <v>3040</v>
      </c>
      <c r="AY162" s="704">
        <f t="shared" ca="1" si="75"/>
        <v>8.8000000000000009E-2</v>
      </c>
      <c r="AZ162" s="704">
        <f t="shared" ca="1" si="59"/>
        <v>8.8000000000000009E-2</v>
      </c>
      <c r="BA162" s="704">
        <f t="shared" ca="1" si="76"/>
        <v>9.7777777777777783E-2</v>
      </c>
      <c r="BB162" s="704">
        <f ca="1">IF(Data!$E$83=1,Data!$L$117+Data!$F$59+AZ162/Data!$L$116/Data!$E$59/Data!$L$115,Data!$E$90+Data!$F$59+AZ162/Data!$G$90/Data!$E$59/Data!$D$90)</f>
        <v>9.7777777777777783E-2</v>
      </c>
      <c r="BC162" s="704">
        <f t="shared" ca="1" si="77"/>
        <v>0.81752000000000002</v>
      </c>
      <c r="BD162" s="699">
        <f ca="1">IF(Data!$C$59=1,TRUNC(($A105*0.9-AY162)/$P$86*2000*PI()*0.8,0),IF(Data!$C$59=2,TRUNC(($A105*0.8-(AY162+0.1))/$P$86*2000*PI()*0.8,0),""))</f>
        <v>1085</v>
      </c>
      <c r="BE162" s="699"/>
      <c r="BF162" s="704">
        <f t="shared" ca="1" si="78"/>
        <v>1.938161934065934</v>
      </c>
      <c r="BG162" s="707">
        <f t="shared" ca="1" si="79"/>
        <v>6768.4</v>
      </c>
      <c r="BH162" s="707">
        <f t="shared" ca="1" si="80"/>
        <v>1128.0666666666666</v>
      </c>
      <c r="BI162" s="699">
        <f t="shared" ca="1" si="81"/>
        <v>0.58610399999999996</v>
      </c>
      <c r="BJ162" s="699">
        <f ca="1">IF(Data!$C$59=1,TRUNC(($A39*0.9-BI162)/$P$89*2000*PI()*0.8,0),IF(Data!$C$59=2,TRUNC(($A39*0.8-(BI162+0.1))/$P$89*2000*PI()*0.8,0),""))</f>
        <v>582</v>
      </c>
      <c r="BK162" s="699"/>
      <c r="BL162" s="704">
        <f t="shared" ca="1" si="82"/>
        <v>1.938161934065934</v>
      </c>
      <c r="BM162" s="707">
        <f t="shared" ca="1" si="83"/>
        <v>6768.4</v>
      </c>
      <c r="BN162" s="707">
        <f t="shared" ca="1" si="84"/>
        <v>451.22666666666663</v>
      </c>
      <c r="BO162" s="699">
        <f t="shared" ca="1" si="85"/>
        <v>0.22792933333333334</v>
      </c>
      <c r="BP162" s="699">
        <f ca="1">IF(Data!$C$59=1,TRUNC(($A39*0.9-BO162)/$P$88*2000*PI()*0.8,0),IF(Data!$C$59=2,TRUNC(($A39*0.8-(BO162+0.1))/$P$88*2000*PI()*0.8,0),""))</f>
        <v>1905</v>
      </c>
      <c r="BQ162" s="699"/>
      <c r="BR162" s="704">
        <f t="shared" ca="1" si="86"/>
        <v>1.938161934065934</v>
      </c>
      <c r="BS162" s="707">
        <f t="shared" ca="1" si="87"/>
        <v>6768.4</v>
      </c>
      <c r="BT162" s="707">
        <f t="shared" ca="1" si="88"/>
        <v>1128.0666666666666</v>
      </c>
      <c r="BU162" s="699">
        <f t="shared" ca="1" si="89"/>
        <v>0.40381499999999992</v>
      </c>
      <c r="BV162" s="699">
        <f ca="1">IF(Data!$C$59=1,TRUNC(($A39*0.9-BU162)/$P$87*2000*PI()*0.8,0),IF(Data!$C$59=2,TRUNC(($A39*0.8-(BU162+0.1))/$P$87*2000*PI()*0.8,0),""))</f>
        <v>673</v>
      </c>
      <c r="BW162" s="699"/>
      <c r="BX162" s="704">
        <f t="shared" ca="1" si="90"/>
        <v>1.938161934065934</v>
      </c>
      <c r="BY162" s="707">
        <f t="shared" ca="1" si="91"/>
        <v>6768.4</v>
      </c>
      <c r="BZ162" s="707">
        <f t="shared" ca="1" si="92"/>
        <v>338.41999999999996</v>
      </c>
      <c r="CA162" s="699">
        <f t="shared" ca="1" si="93"/>
        <v>0.134605</v>
      </c>
      <c r="CB162" s="699">
        <f ca="1">IF(Data!$C$59=1,TRUNC(($A39*0.9-CA162)/$P$86*2000*PI()*0.8,0),IF(Data!$C$59=2,TRUNC(($A39*0.8-(CA162+0.1))/$P$86*2000*PI()*0.8,0),""))</f>
        <v>2697</v>
      </c>
    </row>
    <row r="163" spans="21:80">
      <c r="U163" s="707">
        <f t="shared" ca="1" si="60"/>
        <v>533.33333333333337</v>
      </c>
      <c r="V163" s="707">
        <f t="shared" ca="1" si="61"/>
        <v>3200</v>
      </c>
      <c r="W163" s="704">
        <f t="shared" ca="1" si="62"/>
        <v>0.372</v>
      </c>
      <c r="X163" s="704">
        <f t="shared" ca="1" si="54"/>
        <v>0.372</v>
      </c>
      <c r="Y163" s="704">
        <f t="shared" ca="1" si="63"/>
        <v>0.41333333333333333</v>
      </c>
      <c r="Z163" s="704">
        <f ca="1">IF(Data!$E$83=1,Data!$L$117+Data!$F$59+X163/Data!$L$116/Data!$E$59/Data!$L$115,Data!$E$90+Data!$F$59+X163/Data!$G$90/Data!$E$59/Data!$D$90)</f>
        <v>0.41333333333333333</v>
      </c>
      <c r="AA163" s="704">
        <f t="shared" ca="1" si="64"/>
        <v>0.81496000000000002</v>
      </c>
      <c r="AB163" s="699">
        <f ca="1">IF(Data!$C$59=1,TRUNC(($A106*0.9-W163)/$P$89*2000*PI()*0.8,0),IF(Data!$C$59=2,TRUNC(($A106*0.8-(W163+0.1))/$P$89*2000*PI()*0.8,0),""))</f>
        <v>181</v>
      </c>
      <c r="AC163" s="699"/>
      <c r="AD163" s="706"/>
      <c r="AE163" s="707">
        <f t="shared" ca="1" si="65"/>
        <v>213.33333333333334</v>
      </c>
      <c r="AF163" s="707">
        <f t="shared" ca="1" si="66"/>
        <v>3200</v>
      </c>
      <c r="AG163" s="704">
        <f t="shared" ca="1" si="67"/>
        <v>0.14466666666666667</v>
      </c>
      <c r="AH163" s="704">
        <f t="shared" ca="1" si="55"/>
        <v>0.14466666666666667</v>
      </c>
      <c r="AI163" s="704">
        <f t="shared" ca="1" si="68"/>
        <v>0.16074074074074074</v>
      </c>
      <c r="AJ163" s="704">
        <f ca="1">IF(Data!$E$83=1,Data!$L$117+Data!$F$59+AH163/Data!$L$116/Data!$E$59/Data!$L$115,Data!$E$90+Data!$F$59+AH163/Data!$G$90/Data!$E$59/Data!$D$90)</f>
        <v>0.16074074074074074</v>
      </c>
      <c r="AK163" s="704">
        <f t="shared" ca="1" si="69"/>
        <v>0.81496000000000002</v>
      </c>
      <c r="AL163" s="699">
        <f ca="1">IF(Data!$C$59=1,TRUNC(($A106*0.9-AG163)/$P$88*2000*PI()*0.8,0),IF(Data!$C$59=2,TRUNC(($A106*0.8-(AG163+0.1))/$P$88*2000*PI()*0.8,0),""))</f>
        <v>739</v>
      </c>
      <c r="AM163" s="706"/>
      <c r="AN163" s="707">
        <f t="shared" ca="1" si="70"/>
        <v>533.33333333333337</v>
      </c>
      <c r="AO163" s="707">
        <f t="shared" ca="1" si="71"/>
        <v>3200</v>
      </c>
      <c r="AP163" s="704">
        <f t="shared" ca="1" si="72"/>
        <v>0.27</v>
      </c>
      <c r="AQ163" s="704">
        <f t="shared" ca="1" si="56"/>
        <v>0.27</v>
      </c>
      <c r="AR163" s="704">
        <f t="shared" ca="1" si="73"/>
        <v>0.3</v>
      </c>
      <c r="AS163" s="704">
        <f ca="1">IF(Data!$E$83=1,Data!$L$117+Data!$F$59+AQ163/Data!$L$116/Data!$E$59/Data!$L$115,Data!$E$90+Data!$F$59+AQ163/Data!$G$90/Data!$E$59/Data!$D$90)</f>
        <v>0.3</v>
      </c>
      <c r="AT163" s="704">
        <f t="shared" ca="1" si="74"/>
        <v>0.81496000000000002</v>
      </c>
      <c r="AU163" s="699">
        <f ca="1">IF(Data!$C$59=1,TRUNC(($A106*0.9-AP163)/$P$87*2000*PI()*0.8,0),IF(Data!$C$59=2,TRUNC(($A106*0.8-(AP163+0.1))/$P$87*2000*PI()*0.8,0),""))</f>
        <v>232</v>
      </c>
      <c r="AV163" s="706"/>
      <c r="AW163" s="707">
        <f t="shared" ca="1" si="57"/>
        <v>160</v>
      </c>
      <c r="AX163" s="707">
        <f t="shared" ca="1" si="58"/>
        <v>3200</v>
      </c>
      <c r="AY163" s="704">
        <f t="shared" ca="1" si="75"/>
        <v>9.0000000000000011E-2</v>
      </c>
      <c r="AZ163" s="704">
        <f t="shared" ca="1" si="59"/>
        <v>9.0000000000000011E-2</v>
      </c>
      <c r="BA163" s="704">
        <f t="shared" ca="1" si="76"/>
        <v>0.1</v>
      </c>
      <c r="BB163" s="704">
        <f ca="1">IF(Data!$E$83=1,Data!$L$117+Data!$F$59+AZ163/Data!$L$116/Data!$E$59/Data!$L$115,Data!$E$90+Data!$F$59+AZ163/Data!$G$90/Data!$E$59/Data!$D$90)</f>
        <v>0.1</v>
      </c>
      <c r="BC163" s="704">
        <f t="shared" ca="1" si="77"/>
        <v>0.81496000000000002</v>
      </c>
      <c r="BD163" s="699">
        <f ca="1">IF(Data!$C$59=1,TRUNC(($A106*0.9-AY163)/$P$86*2000*PI()*0.8,0),IF(Data!$C$59=2,TRUNC(($A106*0.8-(AY163+0.1))/$P$86*2000*PI()*0.8,0),""))</f>
        <v>1078</v>
      </c>
      <c r="BE163" s="699"/>
      <c r="BF163" s="704">
        <f t="shared" ca="1" si="78"/>
        <v>1.8868385054945054</v>
      </c>
      <c r="BG163" s="707">
        <f t="shared" ca="1" si="79"/>
        <v>6873.6</v>
      </c>
      <c r="BH163" s="707">
        <f t="shared" ca="1" si="80"/>
        <v>1145.5999999999999</v>
      </c>
      <c r="BI163" s="699">
        <f t="shared" ca="1" si="81"/>
        <v>0.59241599999999994</v>
      </c>
      <c r="BJ163" s="699">
        <f ca="1">IF(Data!$C$59=1,TRUNC(($A40*0.9-BI163)/$P$89*2000*PI()*0.8,0),IF(Data!$C$59=2,TRUNC(($A40*0.8-(BI163+0.1))/$P$89*2000*PI()*0.8,0),""))</f>
        <v>555</v>
      </c>
      <c r="BK163" s="699"/>
      <c r="BL163" s="704">
        <f t="shared" ca="1" si="82"/>
        <v>1.8868385054945054</v>
      </c>
      <c r="BM163" s="707">
        <f t="shared" ca="1" si="83"/>
        <v>6873.6</v>
      </c>
      <c r="BN163" s="707">
        <f t="shared" ca="1" si="84"/>
        <v>458.24</v>
      </c>
      <c r="BO163" s="699">
        <f t="shared" ca="1" si="85"/>
        <v>0.23038400000000001</v>
      </c>
      <c r="BP163" s="699">
        <f ca="1">IF(Data!$C$59=1,TRUNC(($A40*0.9-BO163)/$P$88*2000*PI()*0.8,0),IF(Data!$C$59=2,TRUNC(($A40*0.8-(BO163+0.1))/$P$88*2000*PI()*0.8,0),""))</f>
        <v>1844</v>
      </c>
      <c r="BQ163" s="699"/>
      <c r="BR163" s="704">
        <f t="shared" ca="1" si="86"/>
        <v>1.8868385054945054</v>
      </c>
      <c r="BS163" s="707">
        <f t="shared" ca="1" si="87"/>
        <v>6873.6</v>
      </c>
      <c r="BT163" s="707">
        <f t="shared" ca="1" si="88"/>
        <v>1145.5999999999999</v>
      </c>
      <c r="BU163" s="699">
        <f t="shared" ca="1" si="89"/>
        <v>0.40776000000000001</v>
      </c>
      <c r="BV163" s="699">
        <f ca="1">IF(Data!$C$59=1,TRUNC(($A40*0.9-BU163)/$P$87*2000*PI()*0.8,0),IF(Data!$C$59=2,TRUNC(($A40*0.8-(BU163+0.1))/$P$87*2000*PI()*0.8,0),""))</f>
        <v>648</v>
      </c>
      <c r="BW163" s="699"/>
      <c r="BX163" s="704">
        <f t="shared" ca="1" si="90"/>
        <v>1.8868385054945054</v>
      </c>
      <c r="BY163" s="707">
        <f t="shared" ca="1" si="91"/>
        <v>6873.6</v>
      </c>
      <c r="BZ163" s="707">
        <f t="shared" ca="1" si="92"/>
        <v>343.68</v>
      </c>
      <c r="CA163" s="699">
        <f t="shared" ca="1" si="93"/>
        <v>0.13592000000000001</v>
      </c>
      <c r="CB163" s="699">
        <f ca="1">IF(Data!$C$59=1,TRUNC(($A40*0.9-CA163)/$P$86*2000*PI()*0.8,0),IF(Data!$C$59=2,TRUNC(($A40*0.8-(CA163+0.1))/$P$86*2000*PI()*0.8,0),""))</f>
        <v>2617</v>
      </c>
    </row>
    <row r="164" spans="21:80">
      <c r="U164" s="707">
        <f t="shared" ca="1" si="60"/>
        <v>560</v>
      </c>
      <c r="V164" s="707">
        <f t="shared" ca="1" si="61"/>
        <v>3360</v>
      </c>
      <c r="W164" s="704">
        <f t="shared" ca="1" si="62"/>
        <v>0.38159999999999999</v>
      </c>
      <c r="X164" s="704">
        <f t="shared" ca="1" si="54"/>
        <v>0.38159999999999999</v>
      </c>
      <c r="Y164" s="704">
        <f t="shared" ca="1" si="63"/>
        <v>0.42399999999999999</v>
      </c>
      <c r="Z164" s="704">
        <f ca="1">IF(Data!$E$83=1,Data!$L$117+Data!$F$59+X164/Data!$L$116/Data!$E$59/Data!$L$115,Data!$E$90+Data!$F$59+X164/Data!$G$90/Data!$E$59/Data!$D$90)</f>
        <v>0.42399999999999999</v>
      </c>
      <c r="AA164" s="704">
        <f t="shared" ca="1" si="64"/>
        <v>0.81240000000000001</v>
      </c>
      <c r="AB164" s="699">
        <f ca="1">IF(Data!$C$59=1,TRUNC(($A107*0.9-W164)/$P$89*2000*PI()*0.8,0),IF(Data!$C$59=2,TRUNC(($A107*0.8-(W164+0.1))/$P$89*2000*PI()*0.8,0),""))</f>
        <v>175</v>
      </c>
      <c r="AC164" s="699"/>
      <c r="AD164" s="706"/>
      <c r="AE164" s="707">
        <f t="shared" ca="1" si="65"/>
        <v>224</v>
      </c>
      <c r="AF164" s="707">
        <f t="shared" ca="1" si="66"/>
        <v>3360</v>
      </c>
      <c r="AG164" s="704">
        <f t="shared" ca="1" si="67"/>
        <v>0.14840000000000003</v>
      </c>
      <c r="AH164" s="704">
        <f t="shared" ca="1" si="55"/>
        <v>0.14840000000000003</v>
      </c>
      <c r="AI164" s="704">
        <f t="shared" ca="1" si="68"/>
        <v>0.16488888888888892</v>
      </c>
      <c r="AJ164" s="704">
        <f ca="1">IF(Data!$E$83=1,Data!$L$117+Data!$F$59+AH164/Data!$L$116/Data!$E$59/Data!$L$115,Data!$E$90+Data!$F$59+AH164/Data!$G$90/Data!$E$59/Data!$D$90)</f>
        <v>0.16488888888888892</v>
      </c>
      <c r="AK164" s="704">
        <f t="shared" ca="1" si="69"/>
        <v>0.81240000000000001</v>
      </c>
      <c r="AL164" s="699">
        <f ca="1">IF(Data!$C$59=1,TRUNC(($A107*0.9-AG164)/$P$88*2000*PI()*0.8,0),IF(Data!$C$59=2,TRUNC(($A107*0.8-(AG164+0.1))/$P$88*2000*PI()*0.8,0),""))</f>
        <v>732</v>
      </c>
      <c r="AM164" s="706"/>
      <c r="AN164" s="707">
        <f t="shared" ca="1" si="70"/>
        <v>560</v>
      </c>
      <c r="AO164" s="707">
        <f t="shared" ca="1" si="71"/>
        <v>3360</v>
      </c>
      <c r="AP164" s="704">
        <f t="shared" ca="1" si="72"/>
        <v>0.27600000000000002</v>
      </c>
      <c r="AQ164" s="704">
        <f t="shared" ca="1" si="56"/>
        <v>0.27600000000000002</v>
      </c>
      <c r="AR164" s="704">
        <f t="shared" ca="1" si="73"/>
        <v>0.3066666666666667</v>
      </c>
      <c r="AS164" s="704">
        <f ca="1">IF(Data!$E$83=1,Data!$L$117+Data!$F$59+AQ164/Data!$L$116/Data!$E$59/Data!$L$115,Data!$E$90+Data!$F$59+AQ164/Data!$G$90/Data!$E$59/Data!$D$90)</f>
        <v>0.3066666666666667</v>
      </c>
      <c r="AT164" s="704">
        <f t="shared" ca="1" si="74"/>
        <v>0.81240000000000001</v>
      </c>
      <c r="AU164" s="699">
        <f ca="1">IF(Data!$C$59=1,TRUNC(($A107*0.9-AP164)/$P$87*2000*PI()*0.8,0),IF(Data!$C$59=2,TRUNC(($A107*0.8-(AP164+0.1))/$P$87*2000*PI()*0.8,0),""))</f>
        <v>228</v>
      </c>
      <c r="AV164" s="706"/>
      <c r="AW164" s="707">
        <f t="shared" ca="1" si="57"/>
        <v>168</v>
      </c>
      <c r="AX164" s="707">
        <f t="shared" ca="1" si="58"/>
        <v>3360</v>
      </c>
      <c r="AY164" s="704">
        <f t="shared" ca="1" si="75"/>
        <v>9.1999999999999998E-2</v>
      </c>
      <c r="AZ164" s="704">
        <f t="shared" ca="1" si="59"/>
        <v>9.1999999999999998E-2</v>
      </c>
      <c r="BA164" s="704">
        <f t="shared" ca="1" si="76"/>
        <v>0.10222222222222221</v>
      </c>
      <c r="BB164" s="704">
        <f ca="1">IF(Data!$E$83=1,Data!$L$117+Data!$F$59+AZ164/Data!$L$116/Data!$E$59/Data!$L$115,Data!$E$90+Data!$F$59+AZ164/Data!$G$90/Data!$E$59/Data!$D$90)</f>
        <v>0.10222222222222221</v>
      </c>
      <c r="BC164" s="704">
        <f t="shared" ca="1" si="77"/>
        <v>0.81240000000000001</v>
      </c>
      <c r="BD164" s="699">
        <f ca="1">IF(Data!$C$59=1,TRUNC(($A107*0.9-AY164)/$P$86*2000*PI()*0.8,0),IF(Data!$C$59=2,TRUNC(($A107*0.8-(AY164+0.1))/$P$86*2000*PI()*0.8,0),""))</f>
        <v>1070</v>
      </c>
      <c r="BE164" s="699"/>
      <c r="BF164" s="704">
        <f t="shared" ca="1" si="78"/>
        <v>1.8349186813186811</v>
      </c>
      <c r="BG164" s="707">
        <f t="shared" ca="1" si="79"/>
        <v>6980.1</v>
      </c>
      <c r="BH164" s="707">
        <f t="shared" ca="1" si="80"/>
        <v>1163.3500000000001</v>
      </c>
      <c r="BI164" s="699">
        <f t="shared" ca="1" si="81"/>
        <v>0.59880599999999995</v>
      </c>
      <c r="BJ164" s="699">
        <f ca="1">IF(Data!$C$59=1,TRUNC(($A41*0.9-BI164)/$P$89*2000*PI()*0.8,0),IF(Data!$C$59=2,TRUNC(($A41*0.8-(BI164+0.1))/$P$89*2000*PI()*0.8,0),""))</f>
        <v>529</v>
      </c>
      <c r="BK164" s="699"/>
      <c r="BL164" s="704">
        <f t="shared" ca="1" si="82"/>
        <v>1.8349186813186811</v>
      </c>
      <c r="BM164" s="707">
        <f t="shared" ca="1" si="83"/>
        <v>6980.1</v>
      </c>
      <c r="BN164" s="707">
        <f t="shared" ca="1" si="84"/>
        <v>465.34000000000003</v>
      </c>
      <c r="BO164" s="699">
        <f t="shared" ca="1" si="85"/>
        <v>0.23286900000000005</v>
      </c>
      <c r="BP164" s="699">
        <f ca="1">IF(Data!$C$59=1,TRUNC(($A41*0.9-BO164)/$P$88*2000*PI()*0.8,0),IF(Data!$C$59=2,TRUNC(($A41*0.8-(BO164+0.1))/$P$88*2000*PI()*0.8,0),""))</f>
        <v>1782</v>
      </c>
      <c r="BQ164" s="699"/>
      <c r="BR164" s="704">
        <f t="shared" ca="1" si="86"/>
        <v>1.8349186813186811</v>
      </c>
      <c r="BS164" s="707">
        <f t="shared" ca="1" si="87"/>
        <v>6980.1</v>
      </c>
      <c r="BT164" s="707">
        <f t="shared" ca="1" si="88"/>
        <v>1163.3500000000001</v>
      </c>
      <c r="BU164" s="699">
        <f t="shared" ca="1" si="89"/>
        <v>0.41175375000000003</v>
      </c>
      <c r="BV164" s="699">
        <f ca="1">IF(Data!$C$59=1,TRUNC(($A41*0.9-BU164)/$P$87*2000*PI()*0.8,0),IF(Data!$C$59=2,TRUNC(($A41*0.8-(BU164+0.1))/$P$87*2000*PI()*0.8,0),""))</f>
        <v>623</v>
      </c>
      <c r="BW164" s="699"/>
      <c r="BX164" s="704">
        <f t="shared" ca="1" si="90"/>
        <v>1.8349186813186811</v>
      </c>
      <c r="BY164" s="707">
        <f t="shared" ca="1" si="91"/>
        <v>6980.1</v>
      </c>
      <c r="BZ164" s="707">
        <f t="shared" ca="1" si="92"/>
        <v>349.005</v>
      </c>
      <c r="CA164" s="699">
        <f t="shared" ca="1" si="93"/>
        <v>0.13725124999999999</v>
      </c>
      <c r="CB164" s="699">
        <f ca="1">IF(Data!$C$59=1,TRUNC(($A41*0.9-CA164)/$P$86*2000*PI()*0.8,0),IF(Data!$C$59=2,TRUNC(($A41*0.8-(CA164+0.1))/$P$86*2000*PI()*0.8,0),""))</f>
        <v>2537</v>
      </c>
    </row>
    <row r="165" spans="21:80">
      <c r="U165" s="707">
        <f t="shared" ca="1" si="60"/>
        <v>586.66666666666663</v>
      </c>
      <c r="V165" s="707">
        <f t="shared" ca="1" si="61"/>
        <v>3520</v>
      </c>
      <c r="W165" s="704">
        <f t="shared" ca="1" si="62"/>
        <v>0.39119999999999999</v>
      </c>
      <c r="X165" s="704">
        <f t="shared" ca="1" si="54"/>
        <v>0.39119999999999999</v>
      </c>
      <c r="Y165" s="704">
        <f t="shared" ca="1" si="63"/>
        <v>0.43466666666666665</v>
      </c>
      <c r="Z165" s="704">
        <f ca="1">IF(Data!$E$83=1,Data!$L$117+Data!$F$59+X165/Data!$L$116/Data!$E$59/Data!$L$115,Data!$E$90+Data!$F$59+X165/Data!$G$90/Data!$E$59/Data!$D$90)</f>
        <v>0.43466666666666665</v>
      </c>
      <c r="AA165" s="704">
        <f t="shared" ca="1" si="64"/>
        <v>0.80848888888888892</v>
      </c>
      <c r="AB165" s="699">
        <f ca="1">IF(Data!$C$59=1,TRUNC(($A108*0.9-W165)/$P$89*2000*PI()*0.8,0),IF(Data!$C$59=2,TRUNC(($A108*0.8-(W165+0.1))/$P$89*2000*PI()*0.8,0),""))</f>
        <v>169</v>
      </c>
      <c r="AC165" s="699"/>
      <c r="AD165" s="706"/>
      <c r="AE165" s="707">
        <f t="shared" ca="1" si="65"/>
        <v>234.66666666666666</v>
      </c>
      <c r="AF165" s="707">
        <f t="shared" ca="1" si="66"/>
        <v>3520</v>
      </c>
      <c r="AG165" s="704">
        <f t="shared" ca="1" si="67"/>
        <v>0.15213333333333334</v>
      </c>
      <c r="AH165" s="704">
        <f t="shared" ca="1" si="55"/>
        <v>0.15213333333333334</v>
      </c>
      <c r="AI165" s="704">
        <f t="shared" ca="1" si="68"/>
        <v>0.16903703703703704</v>
      </c>
      <c r="AJ165" s="704">
        <f ca="1">IF(Data!$E$83=1,Data!$L$117+Data!$F$59+AH165/Data!$L$116/Data!$E$59/Data!$L$115,Data!$E$90+Data!$F$59+AH165/Data!$G$90/Data!$E$59/Data!$D$90)</f>
        <v>0.16903703703703704</v>
      </c>
      <c r="AK165" s="704">
        <f t="shared" ca="1" si="69"/>
        <v>0.80848888888888892</v>
      </c>
      <c r="AL165" s="699">
        <f ca="1">IF(Data!$C$59=1,TRUNC(($A108*0.9-AG165)/$P$88*2000*PI()*0.8,0),IF(Data!$C$59=2,TRUNC(($A108*0.8-(AG165+0.1))/$P$88*2000*PI()*0.8,0),""))</f>
        <v>723</v>
      </c>
      <c r="AM165" s="706"/>
      <c r="AN165" s="707">
        <f t="shared" ca="1" si="70"/>
        <v>586.66666666666663</v>
      </c>
      <c r="AO165" s="707">
        <f t="shared" ca="1" si="71"/>
        <v>3520</v>
      </c>
      <c r="AP165" s="704">
        <f t="shared" ca="1" si="72"/>
        <v>0.28200000000000003</v>
      </c>
      <c r="AQ165" s="704">
        <f t="shared" ca="1" si="56"/>
        <v>0.28200000000000003</v>
      </c>
      <c r="AR165" s="704">
        <f t="shared" ca="1" si="73"/>
        <v>0.31333333333333335</v>
      </c>
      <c r="AS165" s="704">
        <f ca="1">IF(Data!$E$83=1,Data!$L$117+Data!$F$59+AQ165/Data!$L$116/Data!$E$59/Data!$L$115,Data!$E$90+Data!$F$59+AQ165/Data!$G$90/Data!$E$59/Data!$D$90)</f>
        <v>0.31333333333333335</v>
      </c>
      <c r="AT165" s="704">
        <f t="shared" ca="1" si="74"/>
        <v>0.80848888888888892</v>
      </c>
      <c r="AU165" s="699">
        <f ca="1">IF(Data!$C$59=1,TRUNC(($A108*0.9-AP165)/$P$87*2000*PI()*0.8,0),IF(Data!$C$59=2,TRUNC(($A108*0.8-(AP165+0.1))/$P$87*2000*PI()*0.8,0),""))</f>
        <v>224</v>
      </c>
      <c r="AV165" s="706"/>
      <c r="AW165" s="707">
        <f t="shared" ca="1" si="57"/>
        <v>176</v>
      </c>
      <c r="AX165" s="707">
        <f t="shared" ca="1" si="58"/>
        <v>3520</v>
      </c>
      <c r="AY165" s="704">
        <f t="shared" ca="1" si="75"/>
        <v>9.4E-2</v>
      </c>
      <c r="AZ165" s="704">
        <f t="shared" ca="1" si="59"/>
        <v>9.4E-2</v>
      </c>
      <c r="BA165" s="704">
        <f t="shared" ca="1" si="76"/>
        <v>0.10444444444444444</v>
      </c>
      <c r="BB165" s="704">
        <f ca="1">IF(Data!$E$83=1,Data!$L$117+Data!$F$59+AZ165/Data!$L$116/Data!$E$59/Data!$L$115,Data!$E$90+Data!$F$59+AZ165/Data!$G$90/Data!$E$59/Data!$D$90)</f>
        <v>0.10444444444444444</v>
      </c>
      <c r="BC165" s="704">
        <f t="shared" ca="1" si="77"/>
        <v>0.80848888888888892</v>
      </c>
      <c r="BD165" s="699">
        <f ca="1">IF(Data!$C$59=1,TRUNC(($A108*0.9-AY165)/$P$86*2000*PI()*0.8,0),IF(Data!$C$59=2,TRUNC(($A108*0.8-(AY165+0.1))/$P$86*2000*PI()*0.8,0),""))</f>
        <v>1061</v>
      </c>
      <c r="BE165" s="699"/>
      <c r="BF165" s="704">
        <f t="shared" ca="1" si="78"/>
        <v>1.7824024615384615</v>
      </c>
      <c r="BG165" s="707">
        <f t="shared" ca="1" si="79"/>
        <v>7088</v>
      </c>
      <c r="BH165" s="707">
        <f t="shared" ca="1" si="80"/>
        <v>1181.3333333333335</v>
      </c>
      <c r="BI165" s="699">
        <f t="shared" ca="1" si="81"/>
        <v>0.60528000000000004</v>
      </c>
      <c r="BJ165" s="699">
        <f ca="1">IF(Data!$C$59=1,TRUNC(($A42*0.9-BI165)/$P$89*2000*PI()*0.8,0),IF(Data!$C$59=2,TRUNC(($A42*0.8-(BI165+0.1))/$P$89*2000*PI()*0.8,0),""))</f>
        <v>502</v>
      </c>
      <c r="BK165" s="699"/>
      <c r="BL165" s="704">
        <f t="shared" ca="1" si="82"/>
        <v>1.7824024615384615</v>
      </c>
      <c r="BM165" s="707">
        <f t="shared" ca="1" si="83"/>
        <v>7088</v>
      </c>
      <c r="BN165" s="707">
        <f t="shared" ca="1" si="84"/>
        <v>472.53333333333336</v>
      </c>
      <c r="BO165" s="699">
        <f t="shared" ca="1" si="85"/>
        <v>0.23538666666666669</v>
      </c>
      <c r="BP165" s="699">
        <f ca="1">IF(Data!$C$59=1,TRUNC(($A42*0.9-BO165)/$P$88*2000*PI()*0.8,0),IF(Data!$C$59=2,TRUNC(($A42*0.8-(BO165+0.1))/$P$88*2000*PI()*0.8,0),""))</f>
        <v>1720</v>
      </c>
      <c r="BQ165" s="699"/>
      <c r="BR165" s="704">
        <f t="shared" ca="1" si="86"/>
        <v>1.7824024615384615</v>
      </c>
      <c r="BS165" s="707">
        <f t="shared" ca="1" si="87"/>
        <v>7088</v>
      </c>
      <c r="BT165" s="707">
        <f t="shared" ca="1" si="88"/>
        <v>1181.3333333333335</v>
      </c>
      <c r="BU165" s="699">
        <f t="shared" ca="1" si="89"/>
        <v>0.41579999999999995</v>
      </c>
      <c r="BV165" s="699">
        <f ca="1">IF(Data!$C$59=1,TRUNC(($A42*0.9-BU165)/$P$87*2000*PI()*0.8,0),IF(Data!$C$59=2,TRUNC(($A42*0.8-(BU165+0.1))/$P$87*2000*PI()*0.8,0),""))</f>
        <v>597</v>
      </c>
      <c r="BW165" s="699"/>
      <c r="BX165" s="704">
        <f t="shared" ca="1" si="90"/>
        <v>1.7824024615384615</v>
      </c>
      <c r="BY165" s="707">
        <f t="shared" ca="1" si="91"/>
        <v>7088</v>
      </c>
      <c r="BZ165" s="707">
        <f t="shared" ca="1" si="92"/>
        <v>354.40000000000003</v>
      </c>
      <c r="CA165" s="699">
        <f t="shared" ca="1" si="93"/>
        <v>0.1386</v>
      </c>
      <c r="CB165" s="699">
        <f ca="1">IF(Data!$C$59=1,TRUNC(($A42*0.9-CA165)/$P$86*2000*PI()*0.8,0),IF(Data!$C$59=2,TRUNC(($A42*0.8-(CA165+0.1))/$P$86*2000*PI()*0.8,0),""))</f>
        <v>2455</v>
      </c>
    </row>
    <row r="166" spans="21:80">
      <c r="U166" s="707">
        <f t="shared" ca="1" si="60"/>
        <v>613.33333333333337</v>
      </c>
      <c r="V166" s="707">
        <f t="shared" ca="1" si="61"/>
        <v>3680</v>
      </c>
      <c r="W166" s="704">
        <f t="shared" ca="1" si="62"/>
        <v>0.40079999999999993</v>
      </c>
      <c r="X166" s="704">
        <f t="shared" ca="1" si="54"/>
        <v>0.40079999999999993</v>
      </c>
      <c r="Y166" s="704">
        <f t="shared" ca="1" si="63"/>
        <v>0.44533333333333325</v>
      </c>
      <c r="Z166" s="704">
        <f ca="1">IF(Data!$E$83=1,Data!$L$117+Data!$F$59+X166/Data!$L$116/Data!$E$59/Data!$L$115,Data!$E$90+Data!$F$59+X166/Data!$G$90/Data!$E$59/Data!$D$90)</f>
        <v>0.44533333333333325</v>
      </c>
      <c r="AA166" s="704">
        <f t="shared" ca="1" si="64"/>
        <v>0.80457777777777784</v>
      </c>
      <c r="AB166" s="699">
        <f ca="1">IF(Data!$C$59=1,TRUNC(($A109*0.9-W166)/$P$89*2000*PI()*0.8,0),IF(Data!$C$59=2,TRUNC(($A109*0.8-(W166+0.1))/$P$89*2000*PI()*0.8,0),""))</f>
        <v>162</v>
      </c>
      <c r="AC166" s="699"/>
      <c r="AD166" s="706"/>
      <c r="AE166" s="707">
        <f t="shared" ca="1" si="65"/>
        <v>245.33333333333334</v>
      </c>
      <c r="AF166" s="707">
        <f t="shared" ca="1" si="66"/>
        <v>3680</v>
      </c>
      <c r="AG166" s="704">
        <f t="shared" ca="1" si="67"/>
        <v>0.15586666666666668</v>
      </c>
      <c r="AH166" s="704">
        <f t="shared" ca="1" si="55"/>
        <v>0.15586666666666668</v>
      </c>
      <c r="AI166" s="704">
        <f t="shared" ca="1" si="68"/>
        <v>0.17318518518518519</v>
      </c>
      <c r="AJ166" s="704">
        <f ca="1">IF(Data!$E$83=1,Data!$L$117+Data!$F$59+AH166/Data!$L$116/Data!$E$59/Data!$L$115,Data!$E$90+Data!$F$59+AH166/Data!$G$90/Data!$E$59/Data!$D$90)</f>
        <v>0.17318518518518519</v>
      </c>
      <c r="AK166" s="704">
        <f t="shared" ca="1" si="69"/>
        <v>0.80457777777777784</v>
      </c>
      <c r="AL166" s="699">
        <f ca="1">IF(Data!$C$59=1,TRUNC(($A109*0.9-AG166)/$P$88*2000*PI()*0.8,0),IF(Data!$C$59=2,TRUNC(($A109*0.8-(AG166+0.1))/$P$88*2000*PI()*0.8,0),""))</f>
        <v>714</v>
      </c>
      <c r="AM166" s="706"/>
      <c r="AN166" s="707">
        <f t="shared" ca="1" si="70"/>
        <v>613.33333333333337</v>
      </c>
      <c r="AO166" s="707">
        <f t="shared" ca="1" si="71"/>
        <v>3680</v>
      </c>
      <c r="AP166" s="704">
        <f t="shared" ca="1" si="72"/>
        <v>0.28800000000000003</v>
      </c>
      <c r="AQ166" s="704">
        <f t="shared" ca="1" si="56"/>
        <v>0.28800000000000003</v>
      </c>
      <c r="AR166" s="704">
        <f t="shared" ca="1" si="73"/>
        <v>0.32</v>
      </c>
      <c r="AS166" s="704">
        <f ca="1">IF(Data!$E$83=1,Data!$L$117+Data!$F$59+AQ166/Data!$L$116/Data!$E$59/Data!$L$115,Data!$E$90+Data!$F$59+AQ166/Data!$G$90/Data!$E$59/Data!$D$90)</f>
        <v>0.32</v>
      </c>
      <c r="AT166" s="704">
        <f t="shared" ca="1" si="74"/>
        <v>0.80457777777777784</v>
      </c>
      <c r="AU166" s="699">
        <f ca="1">IF(Data!$C$59=1,TRUNC(($A109*0.9-AP166)/$P$87*2000*PI()*0.8,0),IF(Data!$C$59=2,TRUNC(($A109*0.8-(AP166+0.1))/$P$87*2000*PI()*0.8,0),""))</f>
        <v>219</v>
      </c>
      <c r="AV166" s="706"/>
      <c r="AW166" s="707">
        <f t="shared" ca="1" si="57"/>
        <v>184</v>
      </c>
      <c r="AX166" s="707">
        <f t="shared" ca="1" si="58"/>
        <v>3680</v>
      </c>
      <c r="AY166" s="704">
        <f t="shared" ca="1" si="75"/>
        <v>9.6000000000000002E-2</v>
      </c>
      <c r="AZ166" s="704">
        <f t="shared" ca="1" si="59"/>
        <v>9.6000000000000002E-2</v>
      </c>
      <c r="BA166" s="704">
        <f t="shared" ca="1" si="76"/>
        <v>0.10666666666666666</v>
      </c>
      <c r="BB166" s="704">
        <f ca="1">IF(Data!$E$83=1,Data!$L$117+Data!$F$59+AZ166/Data!$L$116/Data!$E$59/Data!$L$115,Data!$E$90+Data!$F$59+AZ166/Data!$G$90/Data!$E$59/Data!$D$90)</f>
        <v>0.10666666666666666</v>
      </c>
      <c r="BC166" s="704">
        <f t="shared" ca="1" si="77"/>
        <v>0.80457777777777784</v>
      </c>
      <c r="BD166" s="699">
        <f ca="1">IF(Data!$C$59=1,TRUNC(($A109*0.9-AY166)/$P$86*2000*PI()*0.8,0),IF(Data!$C$59=2,TRUNC(($A109*0.8-(AY166+0.1))/$P$86*2000*PI()*0.8,0),""))</f>
        <v>1052</v>
      </c>
      <c r="BE166" s="699"/>
      <c r="BF166" s="704">
        <f t="shared" ca="1" si="78"/>
        <v>1.7292898461538462</v>
      </c>
      <c r="BG166" s="707">
        <f t="shared" ca="1" si="79"/>
        <v>7197.1</v>
      </c>
      <c r="BH166" s="707">
        <f t="shared" ca="1" si="80"/>
        <v>1199.5166666666667</v>
      </c>
      <c r="BI166" s="699">
        <f t="shared" ca="1" si="81"/>
        <v>0.61182599999999998</v>
      </c>
      <c r="BJ166" s="699">
        <f ca="1">IF(Data!$C$59=1,TRUNC(($A43*0.9-BI166)/$P$89*2000*PI()*0.8,0),IF(Data!$C$59=2,TRUNC(($A43*0.8-(BI166+0.1))/$P$89*2000*PI()*0.8,0),""))</f>
        <v>474</v>
      </c>
      <c r="BK166" s="699"/>
      <c r="BL166" s="704">
        <f t="shared" ca="1" si="82"/>
        <v>1.7292898461538462</v>
      </c>
      <c r="BM166" s="707">
        <f t="shared" ca="1" si="83"/>
        <v>7197.1</v>
      </c>
      <c r="BN166" s="707">
        <f t="shared" ca="1" si="84"/>
        <v>479.80666666666667</v>
      </c>
      <c r="BO166" s="699">
        <f t="shared" ca="1" si="85"/>
        <v>0.23793233333333338</v>
      </c>
      <c r="BP166" s="699">
        <f ca="1">IF(Data!$C$59=1,TRUNC(($A43*0.9-BO166)/$P$88*2000*PI()*0.8,0),IF(Data!$C$59=2,TRUNC(($A43*0.8-(BO166+0.1))/$P$88*2000*PI()*0.8,0),""))</f>
        <v>1656</v>
      </c>
      <c r="BQ166" s="699"/>
      <c r="BR166" s="704">
        <f t="shared" ca="1" si="86"/>
        <v>1.7292898461538462</v>
      </c>
      <c r="BS166" s="707">
        <f t="shared" ca="1" si="87"/>
        <v>7197.1</v>
      </c>
      <c r="BT166" s="707">
        <f t="shared" ca="1" si="88"/>
        <v>1199.5166666666667</v>
      </c>
      <c r="BU166" s="699">
        <f t="shared" ca="1" si="89"/>
        <v>0.41989125000000005</v>
      </c>
      <c r="BV166" s="699">
        <f ca="1">IF(Data!$C$59=1,TRUNC(($A43*0.9-BU166)/$P$87*2000*PI()*0.8,0),IF(Data!$C$59=2,TRUNC(($A43*0.8-(BU166+0.1))/$P$87*2000*PI()*0.8,0),""))</f>
        <v>571</v>
      </c>
      <c r="BW166" s="699"/>
      <c r="BX166" s="704">
        <f t="shared" ca="1" si="90"/>
        <v>1.7292898461538462</v>
      </c>
      <c r="BY166" s="707">
        <f t="shared" ca="1" si="91"/>
        <v>7197.1</v>
      </c>
      <c r="BZ166" s="707">
        <f t="shared" ca="1" si="92"/>
        <v>359.85500000000002</v>
      </c>
      <c r="CA166" s="699">
        <f t="shared" ca="1" si="93"/>
        <v>0.13996375</v>
      </c>
      <c r="CB166" s="699">
        <f ca="1">IF(Data!$C$59=1,TRUNC(($A43*0.9-CA166)/$P$86*2000*PI()*0.8,0),IF(Data!$C$59=2,TRUNC(($A43*0.8-(CA166+0.1))/$P$86*2000*PI()*0.8,0),""))</f>
        <v>2373</v>
      </c>
    </row>
    <row r="167" spans="21:80">
      <c r="U167" s="707">
        <f t="shared" ca="1" si="60"/>
        <v>640</v>
      </c>
      <c r="V167" s="707">
        <f t="shared" ca="1" si="61"/>
        <v>3840</v>
      </c>
      <c r="W167" s="704">
        <f t="shared" ca="1" si="62"/>
        <v>0.41039999999999999</v>
      </c>
      <c r="X167" s="704">
        <f t="shared" ca="1" si="54"/>
        <v>0.41039999999999999</v>
      </c>
      <c r="Y167" s="704">
        <f t="shared" ca="1" si="63"/>
        <v>0.45599999999999996</v>
      </c>
      <c r="Z167" s="704">
        <f ca="1">IF(Data!$E$83=1,Data!$L$117+Data!$F$59+X167/Data!$L$116/Data!$E$59/Data!$L$115,Data!$E$90+Data!$F$59+X167/Data!$G$90/Data!$E$59/Data!$D$90)</f>
        <v>0.45599999999999996</v>
      </c>
      <c r="AA167" s="704">
        <f t="shared" ca="1" si="64"/>
        <v>0.80066666666666675</v>
      </c>
      <c r="AB167" s="699">
        <f ca="1">IF(Data!$C$59=1,TRUNC(($A110*0.9-W167)/$P$89*2000*PI()*0.8,0),IF(Data!$C$59=2,TRUNC(($A110*0.8-(W167+0.1))/$P$89*2000*PI()*0.8,0),""))</f>
        <v>155</v>
      </c>
      <c r="AC167" s="699"/>
      <c r="AD167" s="706"/>
      <c r="AE167" s="707">
        <f t="shared" ca="1" si="65"/>
        <v>256</v>
      </c>
      <c r="AF167" s="707">
        <f t="shared" ca="1" si="66"/>
        <v>3840</v>
      </c>
      <c r="AG167" s="704">
        <f t="shared" ca="1" si="67"/>
        <v>0.15960000000000002</v>
      </c>
      <c r="AH167" s="704">
        <f t="shared" ca="1" si="55"/>
        <v>0.15960000000000002</v>
      </c>
      <c r="AI167" s="704">
        <f t="shared" ca="1" si="68"/>
        <v>0.17733333333333334</v>
      </c>
      <c r="AJ167" s="704">
        <f ca="1">IF(Data!$E$83=1,Data!$L$117+Data!$F$59+AH167/Data!$L$116/Data!$E$59/Data!$L$115,Data!$E$90+Data!$F$59+AH167/Data!$G$90/Data!$E$59/Data!$D$90)</f>
        <v>0.17733333333333334</v>
      </c>
      <c r="AK167" s="704">
        <f t="shared" ca="1" si="69"/>
        <v>0.80066666666666675</v>
      </c>
      <c r="AL167" s="699">
        <f ca="1">IF(Data!$C$59=1,TRUNC(($A110*0.9-AG167)/$P$88*2000*PI()*0.8,0),IF(Data!$C$59=2,TRUNC(($A110*0.8-(AG167+0.1))/$P$88*2000*PI()*0.8,0),""))</f>
        <v>704</v>
      </c>
      <c r="AM167" s="706"/>
      <c r="AN167" s="707">
        <f t="shared" ca="1" si="70"/>
        <v>640</v>
      </c>
      <c r="AO167" s="707">
        <f t="shared" ca="1" si="71"/>
        <v>3840</v>
      </c>
      <c r="AP167" s="704">
        <f t="shared" ca="1" si="72"/>
        <v>0.29399999999999998</v>
      </c>
      <c r="AQ167" s="704">
        <f t="shared" ca="1" si="56"/>
        <v>0.29399999999999998</v>
      </c>
      <c r="AR167" s="704">
        <f t="shared" ca="1" si="73"/>
        <v>0.32666666666666666</v>
      </c>
      <c r="AS167" s="704">
        <f ca="1">IF(Data!$E$83=1,Data!$L$117+Data!$F$59+AQ167/Data!$L$116/Data!$E$59/Data!$L$115,Data!$E$90+Data!$F$59+AQ167/Data!$G$90/Data!$E$59/Data!$D$90)</f>
        <v>0.32666666666666666</v>
      </c>
      <c r="AT167" s="704">
        <f t="shared" ca="1" si="74"/>
        <v>0.80066666666666675</v>
      </c>
      <c r="AU167" s="699">
        <f ca="1">IF(Data!$C$59=1,TRUNC(($A110*0.9-AP167)/$P$87*2000*PI()*0.8,0),IF(Data!$C$59=2,TRUNC(($A110*0.8-(AP167+0.1))/$P$87*2000*PI()*0.8,0),""))</f>
        <v>214</v>
      </c>
      <c r="AV167" s="706"/>
      <c r="AW167" s="707">
        <f t="shared" ca="1" si="57"/>
        <v>192</v>
      </c>
      <c r="AX167" s="707">
        <f t="shared" ca="1" si="58"/>
        <v>3840</v>
      </c>
      <c r="AY167" s="704">
        <f t="shared" ca="1" si="75"/>
        <v>9.8000000000000004E-2</v>
      </c>
      <c r="AZ167" s="704">
        <f t="shared" ca="1" si="59"/>
        <v>9.8000000000000004E-2</v>
      </c>
      <c r="BA167" s="704">
        <f t="shared" ca="1" si="76"/>
        <v>0.1088888888888889</v>
      </c>
      <c r="BB167" s="704">
        <f ca="1">IF(Data!$E$83=1,Data!$L$117+Data!$F$59+AZ167/Data!$L$116/Data!$E$59/Data!$L$115,Data!$E$90+Data!$F$59+AZ167/Data!$G$90/Data!$E$59/Data!$D$90)</f>
        <v>0.1088888888888889</v>
      </c>
      <c r="BC167" s="704">
        <f t="shared" ca="1" si="77"/>
        <v>0.80066666666666675</v>
      </c>
      <c r="BD167" s="699">
        <f ca="1">IF(Data!$C$59=1,TRUNC(($A110*0.9-AY167)/$P$86*2000*PI()*0.8,0),IF(Data!$C$59=2,TRUNC(($A110*0.8-(AY167+0.1))/$P$86*2000*PI()*0.8,0),""))</f>
        <v>1043</v>
      </c>
      <c r="BE167" s="699"/>
      <c r="BF167" s="704">
        <f t="shared" ca="1" si="78"/>
        <v>1.6755808351648354</v>
      </c>
      <c r="BG167" s="707">
        <f t="shared" ca="1" si="79"/>
        <v>7307.4</v>
      </c>
      <c r="BH167" s="707">
        <f t="shared" ca="1" si="80"/>
        <v>1217.8999999999999</v>
      </c>
      <c r="BI167" s="699">
        <f t="shared" ca="1" si="81"/>
        <v>0.61844399999999999</v>
      </c>
      <c r="BJ167" s="699">
        <f ca="1">IF(Data!$C$59=1,TRUNC(($A44*0.9-BI167)/$P$89*2000*PI()*0.8,0),IF(Data!$C$59=2,TRUNC(($A44*0.8-(BI167+0.1))/$P$89*2000*PI()*0.8,0),""))</f>
        <v>447</v>
      </c>
      <c r="BK167" s="699"/>
      <c r="BL167" s="704">
        <f t="shared" ca="1" si="82"/>
        <v>1.6755808351648354</v>
      </c>
      <c r="BM167" s="707">
        <f t="shared" ca="1" si="83"/>
        <v>7307.4</v>
      </c>
      <c r="BN167" s="707">
        <f t="shared" ca="1" si="84"/>
        <v>487.15999999999997</v>
      </c>
      <c r="BO167" s="699">
        <f t="shared" ca="1" si="85"/>
        <v>0.24050600000000003</v>
      </c>
      <c r="BP167" s="699">
        <f ca="1">IF(Data!$C$59=1,TRUNC(($A44*0.9-BO167)/$P$88*2000*PI()*0.8,0),IF(Data!$C$59=2,TRUNC(($A44*0.8-(BO167+0.1))/$P$88*2000*PI()*0.8,0),""))</f>
        <v>1592</v>
      </c>
      <c r="BQ167" s="699"/>
      <c r="BR167" s="704">
        <f t="shared" ca="1" si="86"/>
        <v>1.6755808351648354</v>
      </c>
      <c r="BS167" s="707">
        <f t="shared" ca="1" si="87"/>
        <v>7307.4</v>
      </c>
      <c r="BT167" s="707">
        <f t="shared" ca="1" si="88"/>
        <v>1217.8999999999999</v>
      </c>
      <c r="BU167" s="699">
        <f t="shared" ca="1" si="89"/>
        <v>0.4240275</v>
      </c>
      <c r="BV167" s="699">
        <f ca="1">IF(Data!$C$59=1,TRUNC(($A44*0.9-BU167)/$P$87*2000*PI()*0.8,0),IF(Data!$C$59=2,TRUNC(($A44*0.8-(BU167+0.1))/$P$87*2000*PI()*0.8,0),""))</f>
        <v>544</v>
      </c>
      <c r="BW167" s="699"/>
      <c r="BX167" s="704">
        <f t="shared" ca="1" si="90"/>
        <v>1.6755808351648354</v>
      </c>
      <c r="BY167" s="707">
        <f t="shared" ca="1" si="91"/>
        <v>7307.4</v>
      </c>
      <c r="BZ167" s="707">
        <f t="shared" ca="1" si="92"/>
        <v>365.37</v>
      </c>
      <c r="CA167" s="699">
        <f t="shared" ca="1" si="93"/>
        <v>0.14134249999999998</v>
      </c>
      <c r="CB167" s="699">
        <f ca="1">IF(Data!$C$59=1,TRUNC(($A44*0.9-CA167)/$P$86*2000*PI()*0.8,0),IF(Data!$C$59=2,TRUNC(($A44*0.8-(CA167+0.1))/$P$86*2000*PI()*0.8,0),""))</f>
        <v>2289</v>
      </c>
    </row>
    <row r="168" spans="21:80">
      <c r="U168" s="707">
        <f t="shared" ca="1" si="60"/>
        <v>666.66666666666674</v>
      </c>
      <c r="V168" s="707">
        <f t="shared" ca="1" si="61"/>
        <v>4000</v>
      </c>
      <c r="W168" s="704">
        <f t="shared" ca="1" si="62"/>
        <v>0.42</v>
      </c>
      <c r="X168" s="704">
        <f t="shared" ca="1" si="54"/>
        <v>0.42</v>
      </c>
      <c r="Y168" s="704">
        <f t="shared" ca="1" si="63"/>
        <v>0.46666666666666662</v>
      </c>
      <c r="Z168" s="704">
        <f ca="1">IF(Data!$E$83=1,Data!$L$117+Data!$F$59+X168/Data!$L$116/Data!$E$59/Data!$L$115,Data!$E$90+Data!$F$59+X168/Data!$G$90/Data!$E$59/Data!$D$90)</f>
        <v>0.46666666666666662</v>
      </c>
      <c r="AA168" s="704">
        <f t="shared" ca="1" si="64"/>
        <v>0.79675555555555566</v>
      </c>
      <c r="AB168" s="699">
        <f ca="1">IF(Data!$C$59=1,TRUNC(($A111*0.9-W168)/$P$89*2000*PI()*0.8,0),IF(Data!$C$59=2,TRUNC(($A111*0.8-(W168+0.1))/$P$89*2000*PI()*0.8,0),""))</f>
        <v>149</v>
      </c>
      <c r="AC168" s="699"/>
      <c r="AD168" s="706"/>
      <c r="AE168" s="707">
        <f t="shared" ca="1" si="65"/>
        <v>266.66666666666669</v>
      </c>
      <c r="AF168" s="707">
        <f t="shared" ca="1" si="66"/>
        <v>4000</v>
      </c>
      <c r="AG168" s="704">
        <f t="shared" ca="1" si="67"/>
        <v>0.16333333333333333</v>
      </c>
      <c r="AH168" s="704">
        <f t="shared" ca="1" si="55"/>
        <v>0.16333333333333333</v>
      </c>
      <c r="AI168" s="704">
        <f t="shared" ca="1" si="68"/>
        <v>0.18148148148148147</v>
      </c>
      <c r="AJ168" s="704">
        <f ca="1">IF(Data!$E$83=1,Data!$L$117+Data!$F$59+AH168/Data!$L$116/Data!$E$59/Data!$L$115,Data!$E$90+Data!$F$59+AH168/Data!$G$90/Data!$E$59/Data!$D$90)</f>
        <v>0.18148148148148147</v>
      </c>
      <c r="AK168" s="704">
        <f t="shared" ca="1" si="69"/>
        <v>0.79675555555555566</v>
      </c>
      <c r="AL168" s="699">
        <f ca="1">IF(Data!$C$59=1,TRUNC(($A111*0.9-AG168)/$P$88*2000*PI()*0.8,0),IF(Data!$C$59=2,TRUNC(($A111*0.8-(AG168+0.1))/$P$88*2000*PI()*0.8,0),""))</f>
        <v>695</v>
      </c>
      <c r="AM168" s="706"/>
      <c r="AN168" s="707">
        <f t="shared" ca="1" si="70"/>
        <v>666.66666666666674</v>
      </c>
      <c r="AO168" s="707">
        <f t="shared" ca="1" si="71"/>
        <v>4000</v>
      </c>
      <c r="AP168" s="704">
        <f t="shared" ca="1" si="72"/>
        <v>0.3</v>
      </c>
      <c r="AQ168" s="704">
        <f t="shared" ca="1" si="56"/>
        <v>0.3</v>
      </c>
      <c r="AR168" s="704">
        <f t="shared" ca="1" si="73"/>
        <v>0.33333333333333331</v>
      </c>
      <c r="AS168" s="704">
        <f ca="1">IF(Data!$E$83=1,Data!$L$117+Data!$F$59+AQ168/Data!$L$116/Data!$E$59/Data!$L$115,Data!$E$90+Data!$F$59+AQ168/Data!$G$90/Data!$E$59/Data!$D$90)</f>
        <v>0.33333333333333331</v>
      </c>
      <c r="AT168" s="704">
        <f t="shared" ca="1" si="74"/>
        <v>0.79675555555555566</v>
      </c>
      <c r="AU168" s="699">
        <f ca="1">IF(Data!$C$59=1,TRUNC(($A111*0.9-AP168)/$P$87*2000*PI()*0.8,0),IF(Data!$C$59=2,TRUNC(($A111*0.8-(AP168+0.1))/$P$87*2000*PI()*0.8,0),""))</f>
        <v>209</v>
      </c>
      <c r="AV168" s="706"/>
      <c r="AW168" s="707">
        <f t="shared" ca="1" si="57"/>
        <v>200</v>
      </c>
      <c r="AX168" s="707">
        <f t="shared" ca="1" si="58"/>
        <v>4000</v>
      </c>
      <c r="AY168" s="704">
        <f t="shared" ca="1" si="75"/>
        <v>0.1</v>
      </c>
      <c r="AZ168" s="704">
        <f t="shared" ca="1" si="59"/>
        <v>0.1</v>
      </c>
      <c r="BA168" s="704">
        <f t="shared" ca="1" si="76"/>
        <v>0.11111111111111112</v>
      </c>
      <c r="BB168" s="704">
        <f ca="1">IF(Data!$E$83=1,Data!$L$117+Data!$F$59+AZ168/Data!$L$116/Data!$E$59/Data!$L$115,Data!$E$90+Data!$F$59+AZ168/Data!$G$90/Data!$E$59/Data!$D$90)</f>
        <v>0.11111111111111112</v>
      </c>
      <c r="BC168" s="704">
        <f t="shared" ca="1" si="77"/>
        <v>0.79675555555555566</v>
      </c>
      <c r="BD168" s="699">
        <f ca="1">IF(Data!$C$59=1,TRUNC(($A111*0.9-AY168)/$P$86*2000*PI()*0.8,0),IF(Data!$C$59=2,TRUNC(($A111*0.8-(AY168+0.1))/$P$86*2000*PI()*0.8,0),""))</f>
        <v>1033</v>
      </c>
      <c r="BE168" s="699"/>
      <c r="BF168" s="704">
        <f t="shared" ca="1" si="78"/>
        <v>1.6212754285714288</v>
      </c>
      <c r="BG168" s="707">
        <f t="shared" ca="1" si="79"/>
        <v>7418.7</v>
      </c>
      <c r="BH168" s="707">
        <f t="shared" ca="1" si="80"/>
        <v>1236.45</v>
      </c>
      <c r="BI168" s="699">
        <f t="shared" ca="1" si="81"/>
        <v>0.62512199999999996</v>
      </c>
      <c r="BJ168" s="699">
        <f ca="1">IF(Data!$C$59=1,TRUNC(($A45*0.9-BI168)/$P$89*2000*PI()*0.8,0),IF(Data!$C$59=2,TRUNC(($A45*0.8-(BI168+0.1))/$P$89*2000*PI()*0.8,0),""))</f>
        <v>419</v>
      </c>
      <c r="BK168" s="699"/>
      <c r="BL168" s="704">
        <f t="shared" ca="1" si="82"/>
        <v>1.6212754285714288</v>
      </c>
      <c r="BM168" s="707">
        <f t="shared" ca="1" si="83"/>
        <v>7418.7</v>
      </c>
      <c r="BN168" s="707">
        <f t="shared" ca="1" si="84"/>
        <v>494.58</v>
      </c>
      <c r="BO168" s="699">
        <f t="shared" ca="1" si="85"/>
        <v>0.24310300000000004</v>
      </c>
      <c r="BP168" s="699">
        <f ca="1">IF(Data!$C$59=1,TRUNC(($A45*0.9-BO168)/$P$88*2000*PI()*0.8,0),IF(Data!$C$59=2,TRUNC(($A45*0.8-(BO168+0.1))/$P$88*2000*PI()*0.8,0),""))</f>
        <v>1528</v>
      </c>
      <c r="BQ168" s="699"/>
      <c r="BR168" s="704">
        <f t="shared" ca="1" si="86"/>
        <v>1.6212754285714288</v>
      </c>
      <c r="BS168" s="707">
        <f t="shared" ca="1" si="87"/>
        <v>7418.7</v>
      </c>
      <c r="BT168" s="707">
        <f t="shared" ca="1" si="88"/>
        <v>1236.45</v>
      </c>
      <c r="BU168" s="699">
        <f t="shared" ca="1" si="89"/>
        <v>0.42820124999999998</v>
      </c>
      <c r="BV168" s="699">
        <f ca="1">IF(Data!$C$59=1,TRUNC(($A45*0.9-BU168)/$P$87*2000*PI()*0.8,0),IF(Data!$C$59=2,TRUNC(($A45*0.8-(BU168+0.1))/$P$87*2000*PI()*0.8,0),""))</f>
        <v>518</v>
      </c>
      <c r="BW168" s="699"/>
      <c r="BX168" s="704">
        <f t="shared" ca="1" si="90"/>
        <v>1.6212754285714288</v>
      </c>
      <c r="BY168" s="707">
        <f t="shared" ca="1" si="91"/>
        <v>7418.7</v>
      </c>
      <c r="BZ168" s="707">
        <f t="shared" ca="1" si="92"/>
        <v>370.935</v>
      </c>
      <c r="CA168" s="699">
        <f t="shared" ca="1" si="93"/>
        <v>0.14273374999999999</v>
      </c>
      <c r="CB168" s="699">
        <f ca="1">IF(Data!$C$59=1,TRUNC(($A45*0.9-CA168)/$P$86*2000*PI()*0.8,0),IF(Data!$C$59=2,TRUNC(($A45*0.8-(CA168+0.1))/$P$86*2000*PI()*0.8,0),""))</f>
        <v>2205</v>
      </c>
    </row>
    <row r="169" spans="21:80">
      <c r="U169" s="707">
        <f t="shared" ca="1" si="60"/>
        <v>693.33333333333326</v>
      </c>
      <c r="V169" s="707">
        <f t="shared" ca="1" si="61"/>
        <v>4160</v>
      </c>
      <c r="W169" s="704">
        <f t="shared" ca="1" si="62"/>
        <v>0.42959999999999998</v>
      </c>
      <c r="X169" s="704">
        <f t="shared" ca="1" si="54"/>
        <v>0.42959999999999998</v>
      </c>
      <c r="Y169" s="704">
        <f t="shared" ca="1" si="63"/>
        <v>0.47733333333333328</v>
      </c>
      <c r="Z169" s="704">
        <f ca="1">IF(Data!$E$83=1,Data!$L$117+Data!$F$59+X169/Data!$L$116/Data!$E$59/Data!$L$115,Data!$E$90+Data!$F$59+X169/Data!$G$90/Data!$E$59/Data!$D$90)</f>
        <v>0.47733333333333328</v>
      </c>
      <c r="AA169" s="704">
        <f t="shared" ca="1" si="64"/>
        <v>0.79284444444444457</v>
      </c>
      <c r="AB169" s="699">
        <f ca="1">IF(Data!$C$59=1,TRUNC(($A112*0.9-W169)/$P$89*2000*PI()*0.8,0),IF(Data!$C$59=2,TRUNC(($A112*0.8-(W169+0.1))/$P$89*2000*PI()*0.8,0),""))</f>
        <v>142</v>
      </c>
      <c r="AC169" s="699"/>
      <c r="AD169" s="706"/>
      <c r="AE169" s="707">
        <f t="shared" ca="1" si="65"/>
        <v>277.33333333333331</v>
      </c>
      <c r="AF169" s="707">
        <f t="shared" ca="1" si="66"/>
        <v>4160</v>
      </c>
      <c r="AG169" s="704">
        <f t="shared" ca="1" si="67"/>
        <v>0.1670666666666667</v>
      </c>
      <c r="AH169" s="704">
        <f t="shared" ca="1" si="55"/>
        <v>0.1670666666666667</v>
      </c>
      <c r="AI169" s="704">
        <f t="shared" ca="1" si="68"/>
        <v>0.18562962962962967</v>
      </c>
      <c r="AJ169" s="704">
        <f ca="1">IF(Data!$E$83=1,Data!$L$117+Data!$F$59+AH169/Data!$L$116/Data!$E$59/Data!$L$115,Data!$E$90+Data!$F$59+AH169/Data!$G$90/Data!$E$59/Data!$D$90)</f>
        <v>0.18562962962962967</v>
      </c>
      <c r="AK169" s="704">
        <f t="shared" ca="1" si="69"/>
        <v>0.79284444444444457</v>
      </c>
      <c r="AL169" s="699">
        <f ca="1">IF(Data!$C$59=1,TRUNC(($A112*0.9-AG169)/$P$88*2000*PI()*0.8,0),IF(Data!$C$59=2,TRUNC(($A112*0.8-(AG169+0.1))/$P$88*2000*PI()*0.8,0),""))</f>
        <v>686</v>
      </c>
      <c r="AM169" s="706"/>
      <c r="AN169" s="707">
        <f t="shared" ca="1" si="70"/>
        <v>693.33333333333326</v>
      </c>
      <c r="AO169" s="707">
        <f t="shared" ca="1" si="71"/>
        <v>4160</v>
      </c>
      <c r="AP169" s="704">
        <f t="shared" ca="1" si="72"/>
        <v>0.30599999999999999</v>
      </c>
      <c r="AQ169" s="704">
        <f t="shared" ca="1" si="56"/>
        <v>0.30599999999999999</v>
      </c>
      <c r="AR169" s="704">
        <f t="shared" ca="1" si="73"/>
        <v>0.33999999999999997</v>
      </c>
      <c r="AS169" s="704">
        <f ca="1">IF(Data!$E$83=1,Data!$L$117+Data!$F$59+AQ169/Data!$L$116/Data!$E$59/Data!$L$115,Data!$E$90+Data!$F$59+AQ169/Data!$G$90/Data!$E$59/Data!$D$90)</f>
        <v>0.33999999999999997</v>
      </c>
      <c r="AT169" s="704">
        <f t="shared" ca="1" si="74"/>
        <v>0.79284444444444457</v>
      </c>
      <c r="AU169" s="699">
        <f ca="1">IF(Data!$C$59=1,TRUNC(($A112*0.9-AP169)/$P$87*2000*PI()*0.8,0),IF(Data!$C$59=2,TRUNC(($A112*0.8-(AP169+0.1))/$P$87*2000*PI()*0.8,0),""))</f>
        <v>204</v>
      </c>
      <c r="AV169" s="706"/>
      <c r="AW169" s="707">
        <f t="shared" ca="1" si="57"/>
        <v>208</v>
      </c>
      <c r="AX169" s="707">
        <f t="shared" ca="1" si="58"/>
        <v>4160</v>
      </c>
      <c r="AY169" s="704">
        <f t="shared" ca="1" si="75"/>
        <v>0.10200000000000001</v>
      </c>
      <c r="AZ169" s="704">
        <f t="shared" ca="1" si="59"/>
        <v>0.10200000000000001</v>
      </c>
      <c r="BA169" s="704">
        <f t="shared" ca="1" si="76"/>
        <v>0.11333333333333334</v>
      </c>
      <c r="BB169" s="704">
        <f ca="1">IF(Data!$E$83=1,Data!$L$117+Data!$F$59+AZ169/Data!$L$116/Data!$E$59/Data!$L$115,Data!$E$90+Data!$F$59+AZ169/Data!$G$90/Data!$E$59/Data!$D$90)</f>
        <v>0.11333333333333334</v>
      </c>
      <c r="BC169" s="704">
        <f t="shared" ca="1" si="77"/>
        <v>0.79284444444444457</v>
      </c>
      <c r="BD169" s="699">
        <f ca="1">IF(Data!$C$59=1,TRUNC(($A112*0.9-AY169)/$P$86*2000*PI()*0.8,0),IF(Data!$C$59=2,TRUNC(($A112*0.8-(AY169+0.1))/$P$86*2000*PI()*0.8,0),""))</f>
        <v>1024</v>
      </c>
      <c r="BE169" s="699"/>
      <c r="BF169" s="704">
        <f t="shared" ca="1" si="78"/>
        <v>1.5663736263736265</v>
      </c>
      <c r="BG169" s="707">
        <f t="shared" ca="1" si="79"/>
        <v>7530.8</v>
      </c>
      <c r="BH169" s="707">
        <f t="shared" ca="1" si="80"/>
        <v>1255.1333333333334</v>
      </c>
      <c r="BI169" s="699">
        <f t="shared" ca="1" si="81"/>
        <v>0.63184799999999997</v>
      </c>
      <c r="BJ169" s="699">
        <f ca="1">IF(Data!$C$59=1,TRUNC(($A46*0.9-BI169)/$P$89*2000*PI()*0.8,0),IF(Data!$C$59=2,TRUNC(($A46*0.8-(BI169+0.1))/$P$89*2000*PI()*0.8,0),""))</f>
        <v>391</v>
      </c>
      <c r="BK169" s="699"/>
      <c r="BL169" s="704">
        <f t="shared" ca="1" si="82"/>
        <v>1.5663736263736265</v>
      </c>
      <c r="BM169" s="707">
        <f t="shared" ca="1" si="83"/>
        <v>7530.8</v>
      </c>
      <c r="BN169" s="707">
        <f t="shared" ca="1" si="84"/>
        <v>502.05333333333334</v>
      </c>
      <c r="BO169" s="699">
        <f t="shared" ca="1" si="85"/>
        <v>0.2457186666666667</v>
      </c>
      <c r="BP169" s="699">
        <f ca="1">IF(Data!$C$59=1,TRUNC(($A46*0.9-BO169)/$P$88*2000*PI()*0.8,0),IF(Data!$C$59=2,TRUNC(($A46*0.8-(BO169+0.1))/$P$88*2000*PI()*0.8,0),""))</f>
        <v>1462</v>
      </c>
      <c r="BQ169" s="699"/>
      <c r="BR169" s="704">
        <f t="shared" ca="1" si="86"/>
        <v>1.5663736263736265</v>
      </c>
      <c r="BS169" s="707">
        <f t="shared" ca="1" si="87"/>
        <v>7530.8</v>
      </c>
      <c r="BT169" s="707">
        <f t="shared" ca="1" si="88"/>
        <v>1255.1333333333334</v>
      </c>
      <c r="BU169" s="699">
        <f t="shared" ca="1" si="89"/>
        <v>0.43240500000000004</v>
      </c>
      <c r="BV169" s="699">
        <f ca="1">IF(Data!$C$59=1,TRUNC(($A46*0.9-BU169)/$P$87*2000*PI()*0.8,0),IF(Data!$C$59=2,TRUNC(($A46*0.8-(BU169+0.1))/$P$87*2000*PI()*0.8,0),""))</f>
        <v>491</v>
      </c>
      <c r="BW169" s="699"/>
      <c r="BX169" s="704">
        <f t="shared" ca="1" si="90"/>
        <v>1.5663736263736265</v>
      </c>
      <c r="BY169" s="707">
        <f t="shared" ca="1" si="91"/>
        <v>7530.8</v>
      </c>
      <c r="BZ169" s="707">
        <f t="shared" ca="1" si="92"/>
        <v>376.54</v>
      </c>
      <c r="CA169" s="699">
        <f t="shared" ca="1" si="93"/>
        <v>0.14413500000000001</v>
      </c>
      <c r="CB169" s="699">
        <f ca="1">IF(Data!$C$59=1,TRUNC(($A46*0.9-CA169)/$P$86*2000*PI()*0.8,0),IF(Data!$C$59=2,TRUNC(($A46*0.8-(CA169+0.1))/$P$86*2000*PI()*0.8,0),""))</f>
        <v>2120</v>
      </c>
    </row>
    <row r="170" spans="21:80">
      <c r="U170" s="707">
        <f t="shared" ca="1" si="60"/>
        <v>720</v>
      </c>
      <c r="V170" s="707">
        <f t="shared" ca="1" si="61"/>
        <v>4320</v>
      </c>
      <c r="W170" s="704">
        <f t="shared" ca="1" si="62"/>
        <v>0.43919999999999998</v>
      </c>
      <c r="X170" s="704">
        <f t="shared" ca="1" si="54"/>
        <v>0.43919999999999998</v>
      </c>
      <c r="Y170" s="704">
        <f t="shared" ca="1" si="63"/>
        <v>0.48799999999999999</v>
      </c>
      <c r="Z170" s="704">
        <f ca="1">IF(Data!$E$83=1,Data!$L$117+Data!$F$59+X170/Data!$L$116/Data!$E$59/Data!$L$115,Data!$E$90+Data!$F$59+X170/Data!$G$90/Data!$E$59/Data!$D$90)</f>
        <v>0.48799999999999999</v>
      </c>
      <c r="AA170" s="704">
        <f t="shared" ca="1" si="64"/>
        <v>0.78893333333333349</v>
      </c>
      <c r="AB170" s="699">
        <f ca="1">IF(Data!$C$59=1,TRUNC(($A113*0.9-W170)/$P$89*2000*PI()*0.8,0),IF(Data!$C$59=2,TRUNC(($A113*0.8-(W170+0.1))/$P$89*2000*PI()*0.8,0),""))</f>
        <v>136</v>
      </c>
      <c r="AC170" s="699"/>
      <c r="AD170" s="706"/>
      <c r="AE170" s="707">
        <f t="shared" ca="1" si="65"/>
        <v>288</v>
      </c>
      <c r="AF170" s="707">
        <f t="shared" ca="1" si="66"/>
        <v>4320</v>
      </c>
      <c r="AG170" s="704">
        <f t="shared" ca="1" si="67"/>
        <v>0.17080000000000001</v>
      </c>
      <c r="AH170" s="704">
        <f t="shared" ca="1" si="55"/>
        <v>0.17080000000000001</v>
      </c>
      <c r="AI170" s="704">
        <f t="shared" ca="1" si="68"/>
        <v>0.18977777777777777</v>
      </c>
      <c r="AJ170" s="704">
        <f ca="1">IF(Data!$E$83=1,Data!$L$117+Data!$F$59+AH170/Data!$L$116/Data!$E$59/Data!$L$115,Data!$E$90+Data!$F$59+AH170/Data!$G$90/Data!$E$59/Data!$D$90)</f>
        <v>0.18977777777777777</v>
      </c>
      <c r="AK170" s="704">
        <f t="shared" ca="1" si="69"/>
        <v>0.78893333333333349</v>
      </c>
      <c r="AL170" s="699">
        <f ca="1">IF(Data!$C$59=1,TRUNC(($A113*0.9-AG170)/$P$88*2000*PI()*0.8,0),IF(Data!$C$59=2,TRUNC(($A113*0.8-(AG170+0.1))/$P$88*2000*PI()*0.8,0),""))</f>
        <v>677</v>
      </c>
      <c r="AM170" s="706"/>
      <c r="AN170" s="707">
        <f t="shared" ca="1" si="70"/>
        <v>720</v>
      </c>
      <c r="AO170" s="707">
        <f t="shared" ca="1" si="71"/>
        <v>4320</v>
      </c>
      <c r="AP170" s="704">
        <f t="shared" ca="1" si="72"/>
        <v>0.312</v>
      </c>
      <c r="AQ170" s="704">
        <f t="shared" ca="1" si="56"/>
        <v>0.312</v>
      </c>
      <c r="AR170" s="704">
        <f t="shared" ca="1" si="73"/>
        <v>0.34666666666666668</v>
      </c>
      <c r="AS170" s="704">
        <f ca="1">IF(Data!$E$83=1,Data!$L$117+Data!$F$59+AQ170/Data!$L$116/Data!$E$59/Data!$L$115,Data!$E$90+Data!$F$59+AQ170/Data!$G$90/Data!$E$59/Data!$D$90)</f>
        <v>0.34666666666666668</v>
      </c>
      <c r="AT170" s="704">
        <f t="shared" ca="1" si="74"/>
        <v>0.78893333333333349</v>
      </c>
      <c r="AU170" s="699">
        <f ca="1">IF(Data!$C$59=1,TRUNC(($A113*0.9-AP170)/$P$87*2000*PI()*0.8,0),IF(Data!$C$59=2,TRUNC(($A113*0.8-(AP170+0.1))/$P$87*2000*PI()*0.8,0),""))</f>
        <v>200</v>
      </c>
      <c r="AV170" s="706"/>
      <c r="AW170" s="707">
        <f t="shared" ca="1" si="57"/>
        <v>216</v>
      </c>
      <c r="AX170" s="707">
        <f t="shared" ca="1" si="58"/>
        <v>4320</v>
      </c>
      <c r="AY170" s="704">
        <f t="shared" ca="1" si="75"/>
        <v>0.10400000000000001</v>
      </c>
      <c r="AZ170" s="704">
        <f t="shared" ca="1" si="59"/>
        <v>0.10400000000000001</v>
      </c>
      <c r="BA170" s="704">
        <f t="shared" ca="1" si="76"/>
        <v>0.11555555555555556</v>
      </c>
      <c r="BB170" s="704">
        <f ca="1">IF(Data!$E$83=1,Data!$L$117+Data!$F$59+AZ170/Data!$L$116/Data!$E$59/Data!$L$115,Data!$E$90+Data!$F$59+AZ170/Data!$G$90/Data!$E$59/Data!$D$90)</f>
        <v>0.11555555555555556</v>
      </c>
      <c r="BC170" s="704">
        <f t="shared" ca="1" si="77"/>
        <v>0.78893333333333349</v>
      </c>
      <c r="BD170" s="699">
        <f ca="1">IF(Data!$C$59=1,TRUNC(($A113*0.9-AY170)/$P$86*2000*PI()*0.8,0),IF(Data!$C$59=2,TRUNC(($A113*0.8-(AY170+0.1))/$P$86*2000*PI()*0.8,0),""))</f>
        <v>1015</v>
      </c>
      <c r="BE170" s="699"/>
      <c r="BF170" s="704">
        <f t="shared" ca="1" si="78"/>
        <v>1.5108754285714285</v>
      </c>
      <c r="BG170" s="707">
        <f t="shared" ca="1" si="79"/>
        <v>7643.7</v>
      </c>
      <c r="BH170" s="707">
        <f t="shared" ca="1" si="80"/>
        <v>1273.95</v>
      </c>
      <c r="BI170" s="699">
        <f t="shared" ca="1" si="81"/>
        <v>0.63862200000000002</v>
      </c>
      <c r="BJ170" s="699">
        <f ca="1">IF(Data!$C$59=1,TRUNC(($A47*0.9-BI170)/$P$89*2000*PI()*0.8,0),IF(Data!$C$59=2,TRUNC(($A47*0.8-(BI170+0.1))/$P$89*2000*PI()*0.8,0),""))</f>
        <v>362</v>
      </c>
      <c r="BK170" s="699"/>
      <c r="BL170" s="704">
        <f t="shared" ca="1" si="82"/>
        <v>1.5108754285714285</v>
      </c>
      <c r="BM170" s="707">
        <f t="shared" ca="1" si="83"/>
        <v>7643.7</v>
      </c>
      <c r="BN170" s="707">
        <f t="shared" ca="1" si="84"/>
        <v>509.58</v>
      </c>
      <c r="BO170" s="699">
        <f t="shared" ca="1" si="85"/>
        <v>0.24835300000000002</v>
      </c>
      <c r="BP170" s="699">
        <f ca="1">IF(Data!$C$59=1,TRUNC(($A47*0.9-BO170)/$P$88*2000*PI()*0.8,0),IF(Data!$C$59=2,TRUNC(($A47*0.8-(BO170+0.1))/$P$88*2000*PI()*0.8,0),""))</f>
        <v>1396</v>
      </c>
      <c r="BQ170" s="699"/>
      <c r="BR170" s="704">
        <f t="shared" ca="1" si="86"/>
        <v>1.5108754285714285</v>
      </c>
      <c r="BS170" s="707">
        <f t="shared" ca="1" si="87"/>
        <v>7643.7</v>
      </c>
      <c r="BT170" s="707">
        <f t="shared" ca="1" si="88"/>
        <v>1273.95</v>
      </c>
      <c r="BU170" s="699">
        <f t="shared" ca="1" si="89"/>
        <v>0.43663874999999996</v>
      </c>
      <c r="BV170" s="699">
        <f ca="1">IF(Data!$C$59=1,TRUNC(($A47*0.9-BU170)/$P$87*2000*PI()*0.8,0),IF(Data!$C$59=2,TRUNC(($A47*0.8-(BU170+0.1))/$P$87*2000*PI()*0.8,0),""))</f>
        <v>464</v>
      </c>
      <c r="BW170" s="699"/>
      <c r="BX170" s="704">
        <f t="shared" ca="1" si="90"/>
        <v>1.5108754285714285</v>
      </c>
      <c r="BY170" s="707">
        <f t="shared" ca="1" si="91"/>
        <v>7643.7</v>
      </c>
      <c r="BZ170" s="707">
        <f t="shared" ca="1" si="92"/>
        <v>382.185</v>
      </c>
      <c r="CA170" s="699">
        <f t="shared" ca="1" si="93"/>
        <v>0.14554624999999999</v>
      </c>
      <c r="CB170" s="699">
        <f ca="1">IF(Data!$C$59=1,TRUNC(($A47*0.9-CA170)/$P$86*2000*PI()*0.8,0),IF(Data!$C$59=2,TRUNC(($A47*0.8-(CA170+0.1))/$P$86*2000*PI()*0.8,0),""))</f>
        <v>2034</v>
      </c>
    </row>
    <row r="171" spans="21:80">
      <c r="U171" s="707">
        <f t="shared" ca="1" si="60"/>
        <v>746.66666666666674</v>
      </c>
      <c r="V171" s="707">
        <f t="shared" ca="1" si="61"/>
        <v>4480</v>
      </c>
      <c r="W171" s="704">
        <f t="shared" ca="1" si="62"/>
        <v>0.44879999999999998</v>
      </c>
      <c r="X171" s="704">
        <f t="shared" ca="1" si="54"/>
        <v>0.44879999999999998</v>
      </c>
      <c r="Y171" s="704">
        <f t="shared" ca="1" si="63"/>
        <v>0.49866666666666665</v>
      </c>
      <c r="Z171" s="704">
        <f ca="1">IF(Data!$E$83=1,Data!$L$117+Data!$F$59+X171/Data!$L$116/Data!$E$59/Data!$L$115,Data!$E$90+Data!$F$59+X171/Data!$G$90/Data!$E$59/Data!$D$90)</f>
        <v>0.49866666666666665</v>
      </c>
      <c r="AA171" s="704">
        <f t="shared" ca="1" si="64"/>
        <v>0.7850222222222224</v>
      </c>
      <c r="AB171" s="699">
        <f ca="1">IF(Data!$C$59=1,TRUNC(($A114*0.9-W171)/$P$89*2000*PI()*0.8,0),IF(Data!$C$59=2,TRUNC(($A114*0.8-(W171+0.1))/$P$89*2000*PI()*0.8,0),""))</f>
        <v>129</v>
      </c>
      <c r="AC171" s="699"/>
      <c r="AD171" s="706"/>
      <c r="AE171" s="707">
        <f t="shared" ca="1" si="65"/>
        <v>298.66666666666669</v>
      </c>
      <c r="AF171" s="707">
        <f t="shared" ca="1" si="66"/>
        <v>4480</v>
      </c>
      <c r="AG171" s="704">
        <f t="shared" ca="1" si="67"/>
        <v>0.17453333333333337</v>
      </c>
      <c r="AH171" s="704">
        <f t="shared" ca="1" si="55"/>
        <v>0.17453333333333337</v>
      </c>
      <c r="AI171" s="704">
        <f t="shared" ca="1" si="68"/>
        <v>0.19392592592592597</v>
      </c>
      <c r="AJ171" s="704">
        <f ca="1">IF(Data!$E$83=1,Data!$L$117+Data!$F$59+AH171/Data!$L$116/Data!$E$59/Data!$L$115,Data!$E$90+Data!$F$59+AH171/Data!$G$90/Data!$E$59/Data!$D$90)</f>
        <v>0.19392592592592597</v>
      </c>
      <c r="AK171" s="704">
        <f t="shared" ca="1" si="69"/>
        <v>0.7850222222222224</v>
      </c>
      <c r="AL171" s="699">
        <f ca="1">IF(Data!$C$59=1,TRUNC(($A114*0.9-AG171)/$P$88*2000*PI()*0.8,0),IF(Data!$C$59=2,TRUNC(($A114*0.8-(AG171+0.1))/$P$88*2000*PI()*0.8,0),""))</f>
        <v>668</v>
      </c>
      <c r="AM171" s="706"/>
      <c r="AN171" s="707">
        <f t="shared" ca="1" si="70"/>
        <v>746.66666666666674</v>
      </c>
      <c r="AO171" s="707">
        <f t="shared" ca="1" si="71"/>
        <v>4480</v>
      </c>
      <c r="AP171" s="704">
        <f t="shared" ca="1" si="72"/>
        <v>0.318</v>
      </c>
      <c r="AQ171" s="704">
        <f t="shared" ca="1" si="56"/>
        <v>0.318</v>
      </c>
      <c r="AR171" s="704">
        <f t="shared" ca="1" si="73"/>
        <v>0.35333333333333333</v>
      </c>
      <c r="AS171" s="704">
        <f ca="1">IF(Data!$E$83=1,Data!$L$117+Data!$F$59+AQ171/Data!$L$116/Data!$E$59/Data!$L$115,Data!$E$90+Data!$F$59+AQ171/Data!$G$90/Data!$E$59/Data!$D$90)</f>
        <v>0.35333333333333333</v>
      </c>
      <c r="AT171" s="704">
        <f t="shared" ca="1" si="74"/>
        <v>0.7850222222222224</v>
      </c>
      <c r="AU171" s="699">
        <f ca="1">IF(Data!$C$59=1,TRUNC(($A114*0.9-AP171)/$P$87*2000*PI()*0.8,0),IF(Data!$C$59=2,TRUNC(($A114*0.8-(AP171+0.1))/$P$87*2000*PI()*0.8,0),""))</f>
        <v>195</v>
      </c>
      <c r="AV171" s="706"/>
      <c r="AW171" s="707">
        <f t="shared" ca="1" si="57"/>
        <v>224</v>
      </c>
      <c r="AX171" s="707">
        <f t="shared" ca="1" si="58"/>
        <v>4480</v>
      </c>
      <c r="AY171" s="704">
        <f t="shared" ca="1" si="75"/>
        <v>0.10600000000000001</v>
      </c>
      <c r="AZ171" s="704">
        <f t="shared" ca="1" si="59"/>
        <v>0.10600000000000001</v>
      </c>
      <c r="BA171" s="704">
        <f t="shared" ca="1" si="76"/>
        <v>0.11777777777777779</v>
      </c>
      <c r="BB171" s="704">
        <f ca="1">IF(Data!$E$83=1,Data!$L$117+Data!$F$59+AZ171/Data!$L$116/Data!$E$59/Data!$L$115,Data!$E$90+Data!$F$59+AZ171/Data!$G$90/Data!$E$59/Data!$D$90)</f>
        <v>0.11777777777777779</v>
      </c>
      <c r="BC171" s="704">
        <f t="shared" ca="1" si="77"/>
        <v>0.7850222222222224</v>
      </c>
      <c r="BD171" s="699">
        <f ca="1">IF(Data!$C$59=1,TRUNC(($A114*0.9-AY171)/$P$86*2000*PI()*0.8,0),IF(Data!$C$59=2,TRUNC(($A114*0.8-(AY171+0.1))/$P$86*2000*PI()*0.8,0),""))</f>
        <v>1006</v>
      </c>
      <c r="BE171" s="699"/>
      <c r="BF171" s="704">
        <f t="shared" ca="1" si="78"/>
        <v>1.4547808351648353</v>
      </c>
      <c r="BG171" s="707">
        <f t="shared" ca="1" si="79"/>
        <v>7757.2</v>
      </c>
      <c r="BH171" s="707">
        <f t="shared" ca="1" si="80"/>
        <v>1292.8666666666666</v>
      </c>
      <c r="BI171" s="699">
        <f t="shared" ca="1" si="81"/>
        <v>0.64543200000000001</v>
      </c>
      <c r="BJ171" s="699">
        <f ca="1">IF(Data!$C$59=1,TRUNC(($A48*0.9-BI171)/$P$89*2000*PI()*0.8,0),IF(Data!$C$59=2,TRUNC(($A48*0.8-(BI171+0.1))/$P$89*2000*PI()*0.8,0),""))</f>
        <v>333</v>
      </c>
      <c r="BK171" s="699"/>
      <c r="BL171" s="704">
        <f t="shared" ca="1" si="82"/>
        <v>1.4547808351648353</v>
      </c>
      <c r="BM171" s="707">
        <f t="shared" ca="1" si="83"/>
        <v>7757.2</v>
      </c>
      <c r="BN171" s="707">
        <f t="shared" ca="1" si="84"/>
        <v>517.14666666666665</v>
      </c>
      <c r="BO171" s="699">
        <f t="shared" ca="1" si="85"/>
        <v>0.25100133333333335</v>
      </c>
      <c r="BP171" s="699">
        <f ca="1">IF(Data!$C$59=1,TRUNC(($A48*0.9-BO171)/$P$88*2000*PI()*0.8,0),IF(Data!$C$59=2,TRUNC(($A48*0.8-(BO171+0.1))/$P$88*2000*PI()*0.8,0),""))</f>
        <v>1329</v>
      </c>
      <c r="BQ171" s="699"/>
      <c r="BR171" s="704">
        <f t="shared" ca="1" si="86"/>
        <v>1.4547808351648353</v>
      </c>
      <c r="BS171" s="707">
        <f t="shared" ca="1" si="87"/>
        <v>7757.2</v>
      </c>
      <c r="BT171" s="707">
        <f t="shared" ca="1" si="88"/>
        <v>1292.8666666666666</v>
      </c>
      <c r="BU171" s="699">
        <f t="shared" ca="1" si="89"/>
        <v>0.44089500000000004</v>
      </c>
      <c r="BV171" s="699">
        <f ca="1">IF(Data!$C$59=1,TRUNC(($A48*0.9-BU171)/$P$87*2000*PI()*0.8,0),IF(Data!$C$59=2,TRUNC(($A48*0.8-(BU171+0.1))/$P$87*2000*PI()*0.8,0),""))</f>
        <v>436</v>
      </c>
      <c r="BW171" s="699"/>
      <c r="BX171" s="704">
        <f t="shared" ca="1" si="90"/>
        <v>1.4547808351648353</v>
      </c>
      <c r="BY171" s="707">
        <f t="shared" ca="1" si="91"/>
        <v>7757.2</v>
      </c>
      <c r="BZ171" s="707">
        <f t="shared" ca="1" si="92"/>
        <v>387.86</v>
      </c>
      <c r="CA171" s="699">
        <f t="shared" ca="1" si="93"/>
        <v>0.14696500000000001</v>
      </c>
      <c r="CB171" s="699">
        <f ca="1">IF(Data!$C$59=1,TRUNC(($A48*0.9-CA171)/$P$86*2000*PI()*0.8,0),IF(Data!$C$59=2,TRUNC(($A48*0.8-(CA171+0.1))/$P$86*2000*PI()*0.8,0),""))</f>
        <v>1947</v>
      </c>
    </row>
    <row r="172" spans="21:80">
      <c r="U172" s="707">
        <f t="shared" ca="1" si="60"/>
        <v>773.33333333333326</v>
      </c>
      <c r="V172" s="707">
        <f t="shared" ca="1" si="61"/>
        <v>4640</v>
      </c>
      <c r="W172" s="704">
        <f t="shared" ca="1" si="62"/>
        <v>0.45839999999999997</v>
      </c>
      <c r="X172" s="704">
        <f t="shared" ca="1" si="54"/>
        <v>0.45839999999999997</v>
      </c>
      <c r="Y172" s="704">
        <f t="shared" ca="1" si="63"/>
        <v>0.5093333333333333</v>
      </c>
      <c r="Z172" s="704">
        <f ca="1">IF(Data!$E$83=1,Data!$L$117+Data!$F$59+X172/Data!$L$116/Data!$E$59/Data!$L$115,Data!$E$90+Data!$F$59+X172/Data!$G$90/Data!$E$59/Data!$D$90)</f>
        <v>0.5093333333333333</v>
      </c>
      <c r="AA172" s="704">
        <f t="shared" ca="1" si="64"/>
        <v>0.78111111111111131</v>
      </c>
      <c r="AB172" s="699">
        <f ca="1">IF(Data!$C$59=1,TRUNC(($A115*0.9-W172)/$P$89*2000*PI()*0.8,0),IF(Data!$C$59=2,TRUNC(($A115*0.8-(W172+0.1))/$P$89*2000*PI()*0.8,0),""))</f>
        <v>122</v>
      </c>
      <c r="AC172" s="699"/>
      <c r="AD172" s="706"/>
      <c r="AE172" s="707">
        <f t="shared" ca="1" si="65"/>
        <v>309.33333333333331</v>
      </c>
      <c r="AF172" s="707">
        <f t="shared" ca="1" si="66"/>
        <v>4640</v>
      </c>
      <c r="AG172" s="704">
        <f t="shared" ca="1" si="67"/>
        <v>0.17826666666666668</v>
      </c>
      <c r="AH172" s="704">
        <f t="shared" ca="1" si="55"/>
        <v>0.17826666666666668</v>
      </c>
      <c r="AI172" s="704">
        <f t="shared" ca="1" si="68"/>
        <v>0.1980740740740741</v>
      </c>
      <c r="AJ172" s="704">
        <f ca="1">IF(Data!$E$83=1,Data!$L$117+Data!$F$59+AH172/Data!$L$116/Data!$E$59/Data!$L$115,Data!$E$90+Data!$F$59+AH172/Data!$G$90/Data!$E$59/Data!$D$90)</f>
        <v>0.1980740740740741</v>
      </c>
      <c r="AK172" s="704">
        <f t="shared" ca="1" si="69"/>
        <v>0.78111111111111131</v>
      </c>
      <c r="AL172" s="699">
        <f ca="1">IF(Data!$C$59=1,TRUNC(($A115*0.9-AG172)/$P$88*2000*PI()*0.8,0),IF(Data!$C$59=2,TRUNC(($A115*0.8-(AG172+0.1))/$P$88*2000*PI()*0.8,0),""))</f>
        <v>659</v>
      </c>
      <c r="AM172" s="706"/>
      <c r="AN172" s="707">
        <f t="shared" ca="1" si="70"/>
        <v>773.33333333333326</v>
      </c>
      <c r="AO172" s="707">
        <f t="shared" ca="1" si="71"/>
        <v>4640</v>
      </c>
      <c r="AP172" s="704">
        <f t="shared" ca="1" si="72"/>
        <v>0.32399999999999995</v>
      </c>
      <c r="AQ172" s="704">
        <f t="shared" ca="1" si="56"/>
        <v>0.32399999999999995</v>
      </c>
      <c r="AR172" s="704">
        <f t="shared" ca="1" si="73"/>
        <v>0.35999999999999993</v>
      </c>
      <c r="AS172" s="704">
        <f ca="1">IF(Data!$E$83=1,Data!$L$117+Data!$F$59+AQ172/Data!$L$116/Data!$E$59/Data!$L$115,Data!$E$90+Data!$F$59+AQ172/Data!$G$90/Data!$E$59/Data!$D$90)</f>
        <v>0.35999999999999993</v>
      </c>
      <c r="AT172" s="704">
        <f t="shared" ca="1" si="74"/>
        <v>0.78111111111111131</v>
      </c>
      <c r="AU172" s="699">
        <f ca="1">IF(Data!$C$59=1,TRUNC(($A115*0.9-AP172)/$P$87*2000*PI()*0.8,0),IF(Data!$C$59=2,TRUNC(($A115*0.8-(AP172+0.1))/$P$87*2000*PI()*0.8,0),""))</f>
        <v>190</v>
      </c>
      <c r="AV172" s="706"/>
      <c r="AW172" s="707">
        <f t="shared" ca="1" si="57"/>
        <v>232</v>
      </c>
      <c r="AX172" s="707">
        <f t="shared" ca="1" si="58"/>
        <v>4640</v>
      </c>
      <c r="AY172" s="704">
        <f t="shared" ca="1" si="75"/>
        <v>0.108</v>
      </c>
      <c r="AZ172" s="704">
        <f t="shared" ca="1" si="59"/>
        <v>0.108</v>
      </c>
      <c r="BA172" s="704">
        <f t="shared" ca="1" si="76"/>
        <v>0.12</v>
      </c>
      <c r="BB172" s="704">
        <f ca="1">IF(Data!$E$83=1,Data!$L$117+Data!$F$59+AZ172/Data!$L$116/Data!$E$59/Data!$L$115,Data!$E$90+Data!$F$59+AZ172/Data!$G$90/Data!$E$59/Data!$D$90)</f>
        <v>0.12</v>
      </c>
      <c r="BC172" s="704">
        <f t="shared" ca="1" si="77"/>
        <v>0.78111111111111131</v>
      </c>
      <c r="BD172" s="699">
        <f ca="1">IF(Data!$C$59=1,TRUNC(($A115*0.9-AY172)/$P$86*2000*PI()*0.8,0),IF(Data!$C$59=2,TRUNC(($A115*0.8-(AY172+0.1))/$P$86*2000*PI()*0.8,0),""))</f>
        <v>996</v>
      </c>
      <c r="BE172" s="699"/>
      <c r="BF172" s="704">
        <f t="shared" ca="1" si="78"/>
        <v>1.398089846153846</v>
      </c>
      <c r="BG172" s="707">
        <f t="shared" ca="1" si="79"/>
        <v>7871.1</v>
      </c>
      <c r="BH172" s="707">
        <f t="shared" ca="1" si="80"/>
        <v>1311.85</v>
      </c>
      <c r="BI172" s="699">
        <f t="shared" ca="1" si="81"/>
        <v>0.65226600000000001</v>
      </c>
      <c r="BJ172" s="699">
        <f ca="1">IF(Data!$C$59=1,TRUNC(($A49*0.9-BI172)/$P$89*2000*PI()*0.8,0),IF(Data!$C$59=2,TRUNC(($A49*0.8-(BI172+0.1))/$P$89*2000*PI()*0.8,0),""))</f>
        <v>304</v>
      </c>
      <c r="BK172" s="699"/>
      <c r="BL172" s="704">
        <f t="shared" ca="1" si="82"/>
        <v>1.398089846153846</v>
      </c>
      <c r="BM172" s="707">
        <f t="shared" ca="1" si="83"/>
        <v>7871.1</v>
      </c>
      <c r="BN172" s="707">
        <f t="shared" ca="1" si="84"/>
        <v>524.74</v>
      </c>
      <c r="BO172" s="699">
        <f t="shared" ca="1" si="85"/>
        <v>0.25365900000000002</v>
      </c>
      <c r="BP172" s="699">
        <f ca="1">IF(Data!$C$59=1,TRUNC(($A49*0.9-BO172)/$P$88*2000*PI()*0.8,0),IF(Data!$C$59=2,TRUNC(($A49*0.8-(BO172+0.1))/$P$88*2000*PI()*0.8,0),""))</f>
        <v>1262</v>
      </c>
      <c r="BQ172" s="699"/>
      <c r="BR172" s="704">
        <f t="shared" ca="1" si="86"/>
        <v>1.398089846153846</v>
      </c>
      <c r="BS172" s="707">
        <f t="shared" ca="1" si="87"/>
        <v>7871.1</v>
      </c>
      <c r="BT172" s="707">
        <f t="shared" ca="1" si="88"/>
        <v>1311.85</v>
      </c>
      <c r="BU172" s="699">
        <f t="shared" ca="1" si="89"/>
        <v>0.44516624999999999</v>
      </c>
      <c r="BV172" s="699">
        <f ca="1">IF(Data!$C$59=1,TRUNC(($A49*0.9-BU172)/$P$87*2000*PI()*0.8,0),IF(Data!$C$59=2,TRUNC(($A49*0.8-(BU172+0.1))/$P$87*2000*PI()*0.8,0),""))</f>
        <v>408</v>
      </c>
      <c r="BW172" s="699"/>
      <c r="BX172" s="704">
        <f t="shared" ca="1" si="90"/>
        <v>1.398089846153846</v>
      </c>
      <c r="BY172" s="707">
        <f t="shared" ca="1" si="91"/>
        <v>7871.1</v>
      </c>
      <c r="BZ172" s="707">
        <f t="shared" ca="1" si="92"/>
        <v>393.55500000000001</v>
      </c>
      <c r="CA172" s="699">
        <f t="shared" ca="1" si="93"/>
        <v>0.14838875000000001</v>
      </c>
      <c r="CB172" s="699">
        <f ca="1">IF(Data!$C$59=1,TRUNC(($A49*0.9-CA172)/$P$86*2000*PI()*0.8,0),IF(Data!$C$59=2,TRUNC(($A49*0.8-(CA172+0.1))/$P$86*2000*PI()*0.8,0),""))</f>
        <v>1859</v>
      </c>
    </row>
    <row r="173" spans="21:80">
      <c r="U173" s="707">
        <f t="shared" ca="1" si="60"/>
        <v>800</v>
      </c>
      <c r="V173" s="707">
        <f t="shared" ca="1" si="61"/>
        <v>4800</v>
      </c>
      <c r="W173" s="704">
        <f t="shared" ca="1" si="62"/>
        <v>0.46799999999999997</v>
      </c>
      <c r="X173" s="704">
        <f t="shared" ca="1" si="54"/>
        <v>0.46799999999999997</v>
      </c>
      <c r="Y173" s="704">
        <f t="shared" ca="1" si="63"/>
        <v>0.51999999999999991</v>
      </c>
      <c r="Z173" s="704">
        <f ca="1">IF(Data!$E$83=1,Data!$L$117+Data!$F$59+X173/Data!$L$116/Data!$E$59/Data!$L$115,Data!$E$90+Data!$F$59+X173/Data!$G$90/Data!$E$59/Data!$D$90)</f>
        <v>0.51999999999999991</v>
      </c>
      <c r="AA173" s="704">
        <f t="shared" ca="1" si="64"/>
        <v>0.77720000000000022</v>
      </c>
      <c r="AB173" s="699">
        <f ca="1">IF(Data!$C$59=1,TRUNC(($A116*0.9-W173)/$P$89*2000*PI()*0.8,0),IF(Data!$C$59=2,TRUNC(($A116*0.8-(W173+0.1))/$P$89*2000*PI()*0.8,0),""))</f>
        <v>116</v>
      </c>
      <c r="AC173" s="699"/>
      <c r="AD173" s="706"/>
      <c r="AE173" s="707">
        <f t="shared" ca="1" si="65"/>
        <v>320</v>
      </c>
      <c r="AF173" s="707">
        <f t="shared" ca="1" si="66"/>
        <v>4800</v>
      </c>
      <c r="AG173" s="704">
        <f t="shared" ca="1" si="67"/>
        <v>0.18200000000000002</v>
      </c>
      <c r="AH173" s="704">
        <f t="shared" ca="1" si="55"/>
        <v>0.18200000000000002</v>
      </c>
      <c r="AI173" s="704">
        <f t="shared" ca="1" si="68"/>
        <v>0.20222222222222225</v>
      </c>
      <c r="AJ173" s="704">
        <f ca="1">IF(Data!$E$83=1,Data!$L$117+Data!$F$59+AH173/Data!$L$116/Data!$E$59/Data!$L$115,Data!$E$90+Data!$F$59+AH173/Data!$G$90/Data!$E$59/Data!$D$90)</f>
        <v>0.20222222222222225</v>
      </c>
      <c r="AK173" s="704">
        <f t="shared" ca="1" si="69"/>
        <v>0.77720000000000022</v>
      </c>
      <c r="AL173" s="699">
        <f ca="1">IF(Data!$C$59=1,TRUNC(($A116*0.9-AG173)/$P$88*2000*PI()*0.8,0),IF(Data!$C$59=2,TRUNC(($A116*0.8-(AG173+0.1))/$P$88*2000*PI()*0.8,0),""))</f>
        <v>650</v>
      </c>
      <c r="AM173" s="706"/>
      <c r="AN173" s="707">
        <f t="shared" ca="1" si="70"/>
        <v>800</v>
      </c>
      <c r="AO173" s="707">
        <f t="shared" ca="1" si="71"/>
        <v>4800</v>
      </c>
      <c r="AP173" s="704">
        <f t="shared" ca="1" si="72"/>
        <v>0.32999999999999996</v>
      </c>
      <c r="AQ173" s="704">
        <f t="shared" ca="1" si="56"/>
        <v>0.32999999999999996</v>
      </c>
      <c r="AR173" s="704">
        <f t="shared" ca="1" si="73"/>
        <v>0.36666666666666664</v>
      </c>
      <c r="AS173" s="704">
        <f ca="1">IF(Data!$E$83=1,Data!$L$117+Data!$F$59+AQ173/Data!$L$116/Data!$E$59/Data!$L$115,Data!$E$90+Data!$F$59+AQ173/Data!$G$90/Data!$E$59/Data!$D$90)</f>
        <v>0.36666666666666664</v>
      </c>
      <c r="AT173" s="704">
        <f t="shared" ca="1" si="74"/>
        <v>0.77720000000000022</v>
      </c>
      <c r="AU173" s="699">
        <f ca="1">IF(Data!$C$59=1,TRUNC(($A116*0.9-AP173)/$P$87*2000*PI()*0.8,0),IF(Data!$C$59=2,TRUNC(($A116*0.8-(AP173+0.1))/$P$87*2000*PI()*0.8,0),""))</f>
        <v>185</v>
      </c>
      <c r="AV173" s="706"/>
      <c r="AW173" s="707">
        <f t="shared" ca="1" si="57"/>
        <v>240</v>
      </c>
      <c r="AX173" s="707">
        <f t="shared" ca="1" si="58"/>
        <v>4800</v>
      </c>
      <c r="AY173" s="704">
        <f t="shared" ca="1" si="75"/>
        <v>0.11</v>
      </c>
      <c r="AZ173" s="704">
        <f t="shared" ca="1" si="59"/>
        <v>0.11</v>
      </c>
      <c r="BA173" s="704">
        <f t="shared" ca="1" si="76"/>
        <v>0.12222222222222222</v>
      </c>
      <c r="BB173" s="704">
        <f ca="1">IF(Data!$E$83=1,Data!$L$117+Data!$F$59+AZ173/Data!$L$116/Data!$E$59/Data!$L$115,Data!$E$90+Data!$F$59+AZ173/Data!$G$90/Data!$E$59/Data!$D$90)</f>
        <v>0.12222222222222222</v>
      </c>
      <c r="BC173" s="704">
        <f t="shared" ca="1" si="77"/>
        <v>0.77720000000000022</v>
      </c>
      <c r="BD173" s="699">
        <f ca="1">IF(Data!$C$59=1,TRUNC(($A116*0.9-AY173)/$P$86*2000*PI()*0.8,0),IF(Data!$C$59=2,TRUNC(($A116*0.8-(AY173+0.1))/$P$86*2000*PI()*0.8,0),""))</f>
        <v>987</v>
      </c>
      <c r="BE173" s="699"/>
      <c r="BF173" s="704">
        <f t="shared" ca="1" si="78"/>
        <v>1.3408024615384615</v>
      </c>
      <c r="BG173" s="707">
        <f t="shared" ca="1" si="79"/>
        <v>7985.2</v>
      </c>
      <c r="BH173" s="707">
        <f t="shared" ca="1" si="80"/>
        <v>1330.8666666666668</v>
      </c>
      <c r="BI173" s="699">
        <f t="shared" ca="1" si="81"/>
        <v>0.65911199999999992</v>
      </c>
      <c r="BJ173" s="699">
        <f ca="1">IF(Data!$C$59=1,TRUNC(($A50*0.9-BI173)/$P$89*2000*PI()*0.8,0),IF(Data!$C$59=2,TRUNC(($A50*0.8-(BI173+0.1))/$P$89*2000*PI()*0.8,0),""))</f>
        <v>275</v>
      </c>
      <c r="BK173" s="699"/>
      <c r="BL173" s="704">
        <f t="shared" ca="1" si="82"/>
        <v>1.3408024615384615</v>
      </c>
      <c r="BM173" s="707">
        <f t="shared" ca="1" si="83"/>
        <v>7985.2</v>
      </c>
      <c r="BN173" s="707">
        <f t="shared" ca="1" si="84"/>
        <v>532.34666666666669</v>
      </c>
      <c r="BO173" s="699">
        <f t="shared" ca="1" si="85"/>
        <v>0.25632133333333335</v>
      </c>
      <c r="BP173" s="699">
        <f ca="1">IF(Data!$C$59=1,TRUNC(($A50*0.9-BO173)/$P$88*2000*PI()*0.8,0),IF(Data!$C$59=2,TRUNC(($A50*0.8-(BO173+0.1))/$P$88*2000*PI()*0.8,0),""))</f>
        <v>1194</v>
      </c>
      <c r="BQ173" s="699"/>
      <c r="BR173" s="704">
        <f t="shared" ca="1" si="86"/>
        <v>1.3408024615384615</v>
      </c>
      <c r="BS173" s="707">
        <f t="shared" ca="1" si="87"/>
        <v>7985.2</v>
      </c>
      <c r="BT173" s="707">
        <f t="shared" ca="1" si="88"/>
        <v>1330.8666666666668</v>
      </c>
      <c r="BU173" s="699">
        <f t="shared" ca="1" si="89"/>
        <v>0.44944499999999998</v>
      </c>
      <c r="BV173" s="699">
        <f ca="1">IF(Data!$C$59=1,TRUNC(($A50*0.9-BU173)/$P$87*2000*PI()*0.8,0),IF(Data!$C$59=2,TRUNC(($A50*0.8-(BU173+0.1))/$P$87*2000*PI()*0.8,0),""))</f>
        <v>380</v>
      </c>
      <c r="BW173" s="699"/>
      <c r="BX173" s="704">
        <f t="shared" ca="1" si="90"/>
        <v>1.3408024615384615</v>
      </c>
      <c r="BY173" s="707">
        <f t="shared" ca="1" si="91"/>
        <v>7985.2</v>
      </c>
      <c r="BZ173" s="707">
        <f t="shared" ca="1" si="92"/>
        <v>399.26</v>
      </c>
      <c r="CA173" s="699">
        <f t="shared" ca="1" si="93"/>
        <v>0.149815</v>
      </c>
      <c r="CB173" s="699">
        <f ca="1">IF(Data!$C$59=1,TRUNC(($A50*0.9-CA173)/$P$86*2000*PI()*0.8,0),IF(Data!$C$59=2,TRUNC(($A50*0.8-(CA173+0.1))/$P$86*2000*PI()*0.8,0),""))</f>
        <v>1770</v>
      </c>
    </row>
    <row r="174" spans="21:80">
      <c r="U174" s="707">
        <f t="shared" ca="1" si="60"/>
        <v>826.66666666666674</v>
      </c>
      <c r="V174" s="707">
        <f t="shared" ca="1" si="61"/>
        <v>4960</v>
      </c>
      <c r="W174" s="704">
        <f t="shared" ca="1" si="62"/>
        <v>0.47759999999999997</v>
      </c>
      <c r="X174" s="704">
        <f t="shared" ca="1" si="54"/>
        <v>0.47759999999999997</v>
      </c>
      <c r="Y174" s="704">
        <f t="shared" ca="1" si="63"/>
        <v>0.53066666666666662</v>
      </c>
      <c r="Z174" s="704">
        <f ca="1">IF(Data!$E$83=1,Data!$L$117+Data!$F$59+X174/Data!$L$116/Data!$E$59/Data!$L$115,Data!$E$90+Data!$F$59+X174/Data!$G$90/Data!$E$59/Data!$D$90)</f>
        <v>0.53066666666666662</v>
      </c>
      <c r="AA174" s="704">
        <f t="shared" ca="1" si="64"/>
        <v>0.77328888888888914</v>
      </c>
      <c r="AB174" s="699">
        <f ca="1">IF(Data!$C$59=1,TRUNC(($A117*0.9-W174)/$P$89*2000*PI()*0.8,0),IF(Data!$C$59=2,TRUNC(($A117*0.8-(W174+0.1))/$P$89*2000*PI()*0.8,0),""))</f>
        <v>109</v>
      </c>
      <c r="AC174" s="699"/>
      <c r="AD174" s="706"/>
      <c r="AE174" s="707">
        <f t="shared" ca="1" si="65"/>
        <v>330.66666666666669</v>
      </c>
      <c r="AF174" s="707">
        <f t="shared" ca="1" si="66"/>
        <v>4960</v>
      </c>
      <c r="AG174" s="704">
        <f t="shared" ca="1" si="67"/>
        <v>0.18573333333333336</v>
      </c>
      <c r="AH174" s="704">
        <f t="shared" ca="1" si="55"/>
        <v>0.18573333333333336</v>
      </c>
      <c r="AI174" s="704">
        <f t="shared" ca="1" si="68"/>
        <v>0.2063703703703704</v>
      </c>
      <c r="AJ174" s="704">
        <f ca="1">IF(Data!$E$83=1,Data!$L$117+Data!$F$59+AH174/Data!$L$116/Data!$E$59/Data!$L$115,Data!$E$90+Data!$F$59+AH174/Data!$G$90/Data!$E$59/Data!$D$90)</f>
        <v>0.2063703703703704</v>
      </c>
      <c r="AK174" s="704">
        <f t="shared" ca="1" si="69"/>
        <v>0.77328888888888914</v>
      </c>
      <c r="AL174" s="699">
        <f ca="1">IF(Data!$C$59=1,TRUNC(($A117*0.9-AG174)/$P$88*2000*PI()*0.8,0),IF(Data!$C$59=2,TRUNC(($A117*0.8-(AG174+0.1))/$P$88*2000*PI()*0.8,0),""))</f>
        <v>641</v>
      </c>
      <c r="AM174" s="706"/>
      <c r="AN174" s="707">
        <f t="shared" ca="1" si="70"/>
        <v>826.66666666666674</v>
      </c>
      <c r="AO174" s="707">
        <f t="shared" ca="1" si="71"/>
        <v>4960</v>
      </c>
      <c r="AP174" s="704">
        <f t="shared" ca="1" si="72"/>
        <v>0.33599999999999997</v>
      </c>
      <c r="AQ174" s="704">
        <f t="shared" ca="1" si="56"/>
        <v>0.33599999999999997</v>
      </c>
      <c r="AR174" s="704">
        <f t="shared" ca="1" si="73"/>
        <v>0.37333333333333329</v>
      </c>
      <c r="AS174" s="704">
        <f ca="1">IF(Data!$E$83=1,Data!$L$117+Data!$F$59+AQ174/Data!$L$116/Data!$E$59/Data!$L$115,Data!$E$90+Data!$F$59+AQ174/Data!$G$90/Data!$E$59/Data!$D$90)</f>
        <v>0.37333333333333329</v>
      </c>
      <c r="AT174" s="704">
        <f t="shared" ca="1" si="74"/>
        <v>0.77328888888888914</v>
      </c>
      <c r="AU174" s="699">
        <f ca="1">IF(Data!$C$59=1,TRUNC(($A117*0.9-AP174)/$P$87*2000*PI()*0.8,0),IF(Data!$C$59=2,TRUNC(($A117*0.8-(AP174+0.1))/$P$87*2000*PI()*0.8,0),""))</f>
        <v>180</v>
      </c>
      <c r="AV174" s="706"/>
      <c r="AW174" s="707">
        <f t="shared" ca="1" si="57"/>
        <v>248</v>
      </c>
      <c r="AX174" s="707">
        <f t="shared" ca="1" si="58"/>
        <v>4960</v>
      </c>
      <c r="AY174" s="704">
        <f t="shared" ca="1" si="75"/>
        <v>0.112</v>
      </c>
      <c r="AZ174" s="704">
        <f t="shared" ca="1" si="59"/>
        <v>0.112</v>
      </c>
      <c r="BA174" s="704">
        <f t="shared" ca="1" si="76"/>
        <v>0.12444444444444444</v>
      </c>
      <c r="BB174" s="704">
        <f ca="1">IF(Data!$E$83=1,Data!$L$117+Data!$F$59+AZ174/Data!$L$116/Data!$E$59/Data!$L$115,Data!$E$90+Data!$F$59+AZ174/Data!$G$90/Data!$E$59/Data!$D$90)</f>
        <v>0.12444444444444444</v>
      </c>
      <c r="BC174" s="704">
        <f t="shared" ca="1" si="77"/>
        <v>0.77328888888888914</v>
      </c>
      <c r="BD174" s="699">
        <f ca="1">IF(Data!$C$59=1,TRUNC(($A117*0.9-AY174)/$P$86*2000*PI()*0.8,0),IF(Data!$C$59=2,TRUNC(($A117*0.8-(AY174+0.1))/$P$86*2000*PI()*0.8,0),""))</f>
        <v>978</v>
      </c>
      <c r="BE174" s="699"/>
      <c r="BF174" s="704">
        <f t="shared" ca="1" si="78"/>
        <v>1.2829186813186786</v>
      </c>
      <c r="BG174" s="707">
        <f t="shared" ca="1" si="79"/>
        <v>8000</v>
      </c>
      <c r="BH174" s="707">
        <f t="shared" ca="1" si="80"/>
        <v>1333.3333333333335</v>
      </c>
      <c r="BI174" s="699">
        <f t="shared" ca="1" si="81"/>
        <v>0.65999999999999992</v>
      </c>
      <c r="BJ174" s="699">
        <f ca="1">IF(Data!$C$59=1,TRUNC(($A51*0.9-BI174)/$P$89*2000*PI()*0.8,0),IF(Data!$C$59=2,TRUNC(($A51*0.8-(BI174+0.1))/$P$89*2000*PI()*0.8,0),""))</f>
        <v>248</v>
      </c>
      <c r="BK174" s="699"/>
      <c r="BL174" s="704">
        <f t="shared" ca="1" si="82"/>
        <v>1.2829186813186786</v>
      </c>
      <c r="BM174" s="707">
        <f t="shared" ca="1" si="83"/>
        <v>8000</v>
      </c>
      <c r="BN174" s="707">
        <f t="shared" ca="1" si="84"/>
        <v>533.33333333333337</v>
      </c>
      <c r="BO174" s="699">
        <f t="shared" ca="1" si="85"/>
        <v>0.25666666666666671</v>
      </c>
      <c r="BP174" s="699">
        <f ca="1">IF(Data!$C$59=1,TRUNC(($A51*0.9-BO174)/$P$88*2000*PI()*0.8,0),IF(Data!$C$59=2,TRUNC(($A51*0.8-(BO174+0.1))/$P$88*2000*PI()*0.8,0),""))</f>
        <v>1128</v>
      </c>
      <c r="BQ174" s="699"/>
      <c r="BR174" s="704">
        <f t="shared" ca="1" si="86"/>
        <v>1.2829186813186786</v>
      </c>
      <c r="BS174" s="707">
        <f t="shared" ca="1" si="87"/>
        <v>8000</v>
      </c>
      <c r="BT174" s="707">
        <f t="shared" ca="1" si="88"/>
        <v>1333.3333333333335</v>
      </c>
      <c r="BU174" s="699">
        <f t="shared" ca="1" si="89"/>
        <v>0.44999999999999996</v>
      </c>
      <c r="BV174" s="699">
        <f ca="1">IF(Data!$C$59=1,TRUNC(($A51*0.9-BU174)/$P$87*2000*PI()*0.8,0),IF(Data!$C$59=2,TRUNC(($A51*0.8-(BU174+0.1))/$P$87*2000*PI()*0.8,0),""))</f>
        <v>354</v>
      </c>
      <c r="BW174" s="699"/>
      <c r="BX174" s="704">
        <f t="shared" ca="1" si="90"/>
        <v>1.2829186813186786</v>
      </c>
      <c r="BY174" s="707">
        <f t="shared" ca="1" si="91"/>
        <v>8000</v>
      </c>
      <c r="BZ174" s="707">
        <f t="shared" ca="1" si="92"/>
        <v>400</v>
      </c>
      <c r="CA174" s="699">
        <f t="shared" ca="1" si="93"/>
        <v>0.15000000000000002</v>
      </c>
      <c r="CB174" s="699">
        <f ca="1">IF(Data!$C$59=1,TRUNC(($A51*0.9-CA174)/$P$86*2000*PI()*0.8,0),IF(Data!$C$59=2,TRUNC(($A51*0.8-(CA174+0.1))/$P$86*2000*PI()*0.8,0),""))</f>
        <v>1683</v>
      </c>
    </row>
    <row r="175" spans="21:80">
      <c r="U175" s="707">
        <f t="shared" ca="1" si="60"/>
        <v>853.33333333333326</v>
      </c>
      <c r="V175" s="707">
        <f t="shared" ca="1" si="61"/>
        <v>5120</v>
      </c>
      <c r="W175" s="704">
        <f t="shared" ca="1" si="62"/>
        <v>0.48720000000000002</v>
      </c>
      <c r="X175" s="704">
        <f t="shared" ca="1" si="54"/>
        <v>0.48720000000000002</v>
      </c>
      <c r="Y175" s="704">
        <f t="shared" ca="1" si="63"/>
        <v>0.54133333333333333</v>
      </c>
      <c r="Z175" s="704">
        <f ca="1">IF(Data!$E$83=1,Data!$L$117+Data!$F$59+X175/Data!$L$116/Data!$E$59/Data!$L$115,Data!$E$90+Data!$F$59+X175/Data!$G$90/Data!$E$59/Data!$D$90)</f>
        <v>0.54133333333333333</v>
      </c>
      <c r="AA175" s="704">
        <f t="shared" ca="1" si="64"/>
        <v>0.76937777777777805</v>
      </c>
      <c r="AB175" s="699">
        <f ca="1">IF(Data!$C$59=1,TRUNC(($A118*0.9-W175)/$P$89*2000*PI()*0.8,0),IF(Data!$C$59=2,TRUNC(($A118*0.8-(W175+0.1))/$P$89*2000*PI()*0.8,0),""))</f>
        <v>103</v>
      </c>
      <c r="AC175" s="699"/>
      <c r="AD175" s="706"/>
      <c r="AE175" s="707">
        <f t="shared" ca="1" si="65"/>
        <v>341.33333333333331</v>
      </c>
      <c r="AF175" s="707">
        <f t="shared" ca="1" si="66"/>
        <v>5120</v>
      </c>
      <c r="AG175" s="704">
        <f t="shared" ca="1" si="67"/>
        <v>0.18946666666666667</v>
      </c>
      <c r="AH175" s="704">
        <f t="shared" ca="1" si="55"/>
        <v>0.18946666666666667</v>
      </c>
      <c r="AI175" s="704">
        <f t="shared" ca="1" si="68"/>
        <v>0.21051851851851852</v>
      </c>
      <c r="AJ175" s="704">
        <f ca="1">IF(Data!$E$83=1,Data!$L$117+Data!$F$59+AH175/Data!$L$116/Data!$E$59/Data!$L$115,Data!$E$90+Data!$F$59+AH175/Data!$G$90/Data!$E$59/Data!$D$90)</f>
        <v>0.21051851851851852</v>
      </c>
      <c r="AK175" s="704">
        <f t="shared" ca="1" si="69"/>
        <v>0.76937777777777805</v>
      </c>
      <c r="AL175" s="699">
        <f ca="1">IF(Data!$C$59=1,TRUNC(($A118*0.9-AG175)/$P$88*2000*PI()*0.8,0),IF(Data!$C$59=2,TRUNC(($A118*0.8-(AG175+0.1))/$P$88*2000*PI()*0.8,0),""))</f>
        <v>632</v>
      </c>
      <c r="AM175" s="706"/>
      <c r="AN175" s="707">
        <f t="shared" ca="1" si="70"/>
        <v>853.33333333333326</v>
      </c>
      <c r="AO175" s="707">
        <f t="shared" ca="1" si="71"/>
        <v>5120</v>
      </c>
      <c r="AP175" s="704">
        <f t="shared" ca="1" si="72"/>
        <v>0.34199999999999997</v>
      </c>
      <c r="AQ175" s="704">
        <f t="shared" ca="1" si="56"/>
        <v>0.34199999999999997</v>
      </c>
      <c r="AR175" s="704">
        <f t="shared" ca="1" si="73"/>
        <v>0.37999999999999995</v>
      </c>
      <c r="AS175" s="704">
        <f ca="1">IF(Data!$E$83=1,Data!$L$117+Data!$F$59+AQ175/Data!$L$116/Data!$E$59/Data!$L$115,Data!$E$90+Data!$F$59+AQ175/Data!$G$90/Data!$E$59/Data!$D$90)</f>
        <v>0.37999999999999995</v>
      </c>
      <c r="AT175" s="704">
        <f t="shared" ca="1" si="74"/>
        <v>0.76937777777777805</v>
      </c>
      <c r="AU175" s="699">
        <f ca="1">IF(Data!$C$59=1,TRUNC(($A118*0.9-AP175)/$P$87*2000*PI()*0.8,0),IF(Data!$C$59=2,TRUNC(($A118*0.8-(AP175+0.1))/$P$87*2000*PI()*0.8,0),""))</f>
        <v>176</v>
      </c>
      <c r="AV175" s="706"/>
      <c r="AW175" s="707">
        <f t="shared" ca="1" si="57"/>
        <v>256</v>
      </c>
      <c r="AX175" s="707">
        <f t="shared" ca="1" si="58"/>
        <v>5120</v>
      </c>
      <c r="AY175" s="704">
        <f t="shared" ca="1" si="75"/>
        <v>0.114</v>
      </c>
      <c r="AZ175" s="704">
        <f t="shared" ca="1" si="59"/>
        <v>0.114</v>
      </c>
      <c r="BA175" s="704">
        <f t="shared" ca="1" si="76"/>
        <v>0.12666666666666668</v>
      </c>
      <c r="BB175" s="704">
        <f ca="1">IF(Data!$E$83=1,Data!$L$117+Data!$F$59+AZ175/Data!$L$116/Data!$E$59/Data!$L$115,Data!$E$90+Data!$F$59+AZ175/Data!$G$90/Data!$E$59/Data!$D$90)</f>
        <v>0.12666666666666668</v>
      </c>
      <c r="BC175" s="704">
        <f t="shared" ca="1" si="77"/>
        <v>0.76937777777777805</v>
      </c>
      <c r="BD175" s="699">
        <f ca="1">IF(Data!$C$59=1,TRUNC(($A118*0.9-AY175)/$P$86*2000*PI()*0.8,0),IF(Data!$C$59=2,TRUNC(($A118*0.8-(AY175+0.1))/$P$86*2000*PI()*0.8,0),""))</f>
        <v>969</v>
      </c>
      <c r="BE175" s="699"/>
      <c r="BF175" s="704">
        <f t="shared" ca="1" si="78"/>
        <v>1.2244385054945026</v>
      </c>
      <c r="BG175" s="707">
        <f t="shared" ca="1" si="79"/>
        <v>8000</v>
      </c>
      <c r="BH175" s="707">
        <f t="shared" ca="1" si="80"/>
        <v>1333.3333333333335</v>
      </c>
      <c r="BI175" s="699">
        <f t="shared" ca="1" si="81"/>
        <v>0.65999999999999992</v>
      </c>
      <c r="BJ175" s="699">
        <f ca="1">IF(Data!$C$59=1,TRUNC(($A52*0.9-BI175)/$P$89*2000*PI()*0.8,0),IF(Data!$C$59=2,TRUNC(($A52*0.8-(BI175+0.1))/$P$89*2000*PI()*0.8,0),""))</f>
        <v>222</v>
      </c>
      <c r="BK175" s="699"/>
      <c r="BL175" s="704">
        <f t="shared" ca="1" si="82"/>
        <v>1.2244385054945026</v>
      </c>
      <c r="BM175" s="707">
        <f t="shared" ca="1" si="83"/>
        <v>8000</v>
      </c>
      <c r="BN175" s="707">
        <f t="shared" ca="1" si="84"/>
        <v>533.33333333333337</v>
      </c>
      <c r="BO175" s="699">
        <f t="shared" ca="1" si="85"/>
        <v>0.25666666666666671</v>
      </c>
      <c r="BP175" s="699">
        <f ca="1">IF(Data!$C$59=1,TRUNC(($A52*0.9-BO175)/$P$88*2000*PI()*0.8,0),IF(Data!$C$59=2,TRUNC(($A52*0.8-(BO175+0.1))/$P$88*2000*PI()*0.8,0),""))</f>
        <v>1062</v>
      </c>
      <c r="BQ175" s="699"/>
      <c r="BR175" s="704">
        <f t="shared" ca="1" si="86"/>
        <v>1.2244385054945026</v>
      </c>
      <c r="BS175" s="707">
        <f t="shared" ca="1" si="87"/>
        <v>8000</v>
      </c>
      <c r="BT175" s="707">
        <f t="shared" ca="1" si="88"/>
        <v>1333.3333333333335</v>
      </c>
      <c r="BU175" s="699">
        <f t="shared" ca="1" si="89"/>
        <v>0.44999999999999996</v>
      </c>
      <c r="BV175" s="699">
        <f ca="1">IF(Data!$C$59=1,TRUNC(($A52*0.9-BU175)/$P$87*2000*PI()*0.8,0),IF(Data!$C$59=2,TRUNC(($A52*0.8-(BU175+0.1))/$P$87*2000*PI()*0.8,0),""))</f>
        <v>327</v>
      </c>
      <c r="BW175" s="699"/>
      <c r="BX175" s="704">
        <f t="shared" ca="1" si="90"/>
        <v>1.2244385054945026</v>
      </c>
      <c r="BY175" s="707">
        <f t="shared" ca="1" si="91"/>
        <v>8000</v>
      </c>
      <c r="BZ175" s="707">
        <f t="shared" ca="1" si="92"/>
        <v>400</v>
      </c>
      <c r="CA175" s="699">
        <f t="shared" ca="1" si="93"/>
        <v>0.15000000000000002</v>
      </c>
      <c r="CB175" s="699">
        <f ca="1">IF(Data!$C$59=1,TRUNC(($A52*0.9-CA175)/$P$86*2000*PI()*0.8,0),IF(Data!$C$59=2,TRUNC(($A52*0.8-(CA175+0.1))/$P$86*2000*PI()*0.8,0),""))</f>
        <v>1595</v>
      </c>
    </row>
    <row r="176" spans="21:80">
      <c r="U176" s="707">
        <f t="shared" ca="1" si="60"/>
        <v>880</v>
      </c>
      <c r="V176" s="707">
        <f t="shared" ca="1" si="61"/>
        <v>5280</v>
      </c>
      <c r="W176" s="704">
        <f t="shared" ca="1" si="62"/>
        <v>0.49679999999999996</v>
      </c>
      <c r="X176" s="704">
        <f t="shared" ca="1" si="54"/>
        <v>0.49679999999999996</v>
      </c>
      <c r="Y176" s="704">
        <f t="shared" ca="1" si="63"/>
        <v>0.55199999999999994</v>
      </c>
      <c r="Z176" s="704">
        <f ca="1">IF(Data!$E$83=1,Data!$L$117+Data!$F$59+X176/Data!$L$116/Data!$E$59/Data!$L$115,Data!$E$90+Data!$F$59+X176/Data!$G$90/Data!$E$59/Data!$D$90)</f>
        <v>0.55199999999999994</v>
      </c>
      <c r="AA176" s="704">
        <f t="shared" ca="1" si="64"/>
        <v>0.76546666666666696</v>
      </c>
      <c r="AB176" s="699">
        <f ca="1">IF(Data!$C$59=1,TRUNC(($A119*0.9-W176)/$P$89*2000*PI()*0.8,0),IF(Data!$C$59=2,TRUNC(($A119*0.8-(W176+0.1))/$P$89*2000*PI()*0.8,0),""))</f>
        <v>96</v>
      </c>
      <c r="AC176" s="699"/>
      <c r="AD176" s="706"/>
      <c r="AE176" s="707">
        <f t="shared" ca="1" si="65"/>
        <v>352</v>
      </c>
      <c r="AF176" s="707">
        <f t="shared" ca="1" si="66"/>
        <v>5280</v>
      </c>
      <c r="AG176" s="704">
        <f t="shared" ca="1" si="67"/>
        <v>0.19320000000000004</v>
      </c>
      <c r="AH176" s="704">
        <f t="shared" ca="1" si="55"/>
        <v>0.19320000000000004</v>
      </c>
      <c r="AI176" s="704">
        <f t="shared" ca="1" si="68"/>
        <v>0.2146666666666667</v>
      </c>
      <c r="AJ176" s="704">
        <f ca="1">IF(Data!$E$83=1,Data!$L$117+Data!$F$59+AH176/Data!$L$116/Data!$E$59/Data!$L$115,Data!$E$90+Data!$F$59+AH176/Data!$G$90/Data!$E$59/Data!$D$90)</f>
        <v>0.2146666666666667</v>
      </c>
      <c r="AK176" s="704">
        <f t="shared" ca="1" si="69"/>
        <v>0.76546666666666696</v>
      </c>
      <c r="AL176" s="699">
        <f ca="1">IF(Data!$C$59=1,TRUNC(($A119*0.9-AG176)/$P$88*2000*PI()*0.8,0),IF(Data!$C$59=2,TRUNC(($A119*0.8-(AG176+0.1))/$P$88*2000*PI()*0.8,0),""))</f>
        <v>622</v>
      </c>
      <c r="AM176" s="706"/>
      <c r="AN176" s="707">
        <f t="shared" ca="1" si="70"/>
        <v>880</v>
      </c>
      <c r="AO176" s="707">
        <f t="shared" ca="1" si="71"/>
        <v>5280</v>
      </c>
      <c r="AP176" s="704">
        <f t="shared" ca="1" si="72"/>
        <v>0.34799999999999998</v>
      </c>
      <c r="AQ176" s="704">
        <f t="shared" ca="1" si="56"/>
        <v>0.34799999999999998</v>
      </c>
      <c r="AR176" s="704">
        <f t="shared" ca="1" si="73"/>
        <v>0.3866666666666666</v>
      </c>
      <c r="AS176" s="704">
        <f ca="1">IF(Data!$E$83=1,Data!$L$117+Data!$F$59+AQ176/Data!$L$116/Data!$E$59/Data!$L$115,Data!$E$90+Data!$F$59+AQ176/Data!$G$90/Data!$E$59/Data!$D$90)</f>
        <v>0.3866666666666666</v>
      </c>
      <c r="AT176" s="704">
        <f t="shared" ca="1" si="74"/>
        <v>0.76546666666666696</v>
      </c>
      <c r="AU176" s="699">
        <f ca="1">IF(Data!$C$59=1,TRUNC(($A119*0.9-AP176)/$P$87*2000*PI()*0.8,0),IF(Data!$C$59=2,TRUNC(($A119*0.8-(AP176+0.1))/$P$87*2000*PI()*0.8,0),""))</f>
        <v>171</v>
      </c>
      <c r="AV176" s="706"/>
      <c r="AW176" s="707">
        <f t="shared" ca="1" si="57"/>
        <v>264</v>
      </c>
      <c r="AX176" s="707">
        <f t="shared" ca="1" si="58"/>
        <v>5280</v>
      </c>
      <c r="AY176" s="704">
        <f t="shared" ca="1" si="75"/>
        <v>0.11600000000000001</v>
      </c>
      <c r="AZ176" s="704">
        <f t="shared" ca="1" si="59"/>
        <v>0.11600000000000001</v>
      </c>
      <c r="BA176" s="704">
        <f t="shared" ca="1" si="76"/>
        <v>0.12888888888888889</v>
      </c>
      <c r="BB176" s="704">
        <f ca="1">IF(Data!$E$83=1,Data!$L$117+Data!$F$59+AZ176/Data!$L$116/Data!$E$59/Data!$L$115,Data!$E$90+Data!$F$59+AZ176/Data!$G$90/Data!$E$59/Data!$D$90)</f>
        <v>0.12888888888888889</v>
      </c>
      <c r="BC176" s="704">
        <f t="shared" ca="1" si="77"/>
        <v>0.76546666666666696</v>
      </c>
      <c r="BD176" s="699">
        <f ca="1">IF(Data!$C$59=1,TRUNC(($A119*0.9-AY176)/$P$86*2000*PI()*0.8,0),IF(Data!$C$59=2,TRUNC(($A119*0.8-(AY176+0.1))/$P$86*2000*PI()*0.8,0),""))</f>
        <v>959</v>
      </c>
      <c r="BE176" s="699"/>
      <c r="BF176" s="704">
        <f t="shared" ca="1" si="78"/>
        <v>1.1653619340659311</v>
      </c>
      <c r="BG176" s="707">
        <f t="shared" ca="1" si="79"/>
        <v>8000</v>
      </c>
      <c r="BH176" s="707">
        <f t="shared" ca="1" si="80"/>
        <v>1333.3333333333335</v>
      </c>
      <c r="BI176" s="699">
        <f t="shared" ca="1" si="81"/>
        <v>0.65999999999999992</v>
      </c>
      <c r="BJ176" s="699">
        <f ca="1">IF(Data!$C$59=1,TRUNC(($A53*0.9-BI176)/$P$89*2000*PI()*0.8,0),IF(Data!$C$59=2,TRUNC(($A53*0.8-(BI176+0.1))/$P$89*2000*PI()*0.8,0),""))</f>
        <v>195</v>
      </c>
      <c r="BK176" s="699"/>
      <c r="BL176" s="704">
        <f t="shared" ca="1" si="82"/>
        <v>1.1653619340659311</v>
      </c>
      <c r="BM176" s="707">
        <f t="shared" ca="1" si="83"/>
        <v>8000</v>
      </c>
      <c r="BN176" s="707">
        <f t="shared" ca="1" si="84"/>
        <v>533.33333333333337</v>
      </c>
      <c r="BO176" s="699">
        <f t="shared" ca="1" si="85"/>
        <v>0.25666666666666671</v>
      </c>
      <c r="BP176" s="699">
        <f ca="1">IF(Data!$C$59=1,TRUNC(($A53*0.9-BO176)/$P$88*2000*PI()*0.8,0),IF(Data!$C$59=2,TRUNC(($A53*0.8-(BO176+0.1))/$P$88*2000*PI()*0.8,0),""))</f>
        <v>995</v>
      </c>
      <c r="BQ176" s="699"/>
      <c r="BR176" s="704">
        <f t="shared" ca="1" si="86"/>
        <v>1.1653619340659311</v>
      </c>
      <c r="BS176" s="707">
        <f t="shared" ca="1" si="87"/>
        <v>8000</v>
      </c>
      <c r="BT176" s="707">
        <f t="shared" ca="1" si="88"/>
        <v>1333.3333333333335</v>
      </c>
      <c r="BU176" s="699">
        <f t="shared" ca="1" si="89"/>
        <v>0.44999999999999996</v>
      </c>
      <c r="BV176" s="699">
        <f ca="1">IF(Data!$C$59=1,TRUNC(($A53*0.9-BU176)/$P$87*2000*PI()*0.8,0),IF(Data!$C$59=2,TRUNC(($A53*0.8-(BU176+0.1))/$P$87*2000*PI()*0.8,0),""))</f>
        <v>301</v>
      </c>
      <c r="BW176" s="699"/>
      <c r="BX176" s="704">
        <f t="shared" ca="1" si="90"/>
        <v>1.1653619340659311</v>
      </c>
      <c r="BY176" s="707">
        <f t="shared" ca="1" si="91"/>
        <v>8000</v>
      </c>
      <c r="BZ176" s="707">
        <f t="shared" ca="1" si="92"/>
        <v>400</v>
      </c>
      <c r="CA176" s="699">
        <f t="shared" ca="1" si="93"/>
        <v>0.15000000000000002</v>
      </c>
      <c r="CB176" s="699">
        <f ca="1">IF(Data!$C$59=1,TRUNC(($A53*0.9-CA176)/$P$86*2000*PI()*0.8,0),IF(Data!$C$59=2,TRUNC(($A53*0.8-(CA176+0.1))/$P$86*2000*PI()*0.8,0),""))</f>
        <v>1505</v>
      </c>
    </row>
    <row r="177" spans="21:80">
      <c r="U177" s="707">
        <f t="shared" ca="1" si="60"/>
        <v>906.66666666666674</v>
      </c>
      <c r="V177" s="707">
        <f t="shared" ca="1" si="61"/>
        <v>5440</v>
      </c>
      <c r="W177" s="704">
        <f t="shared" ca="1" si="62"/>
        <v>0.50639999999999996</v>
      </c>
      <c r="X177" s="704">
        <f t="shared" ca="1" si="54"/>
        <v>0.50639999999999996</v>
      </c>
      <c r="Y177" s="704">
        <f t="shared" ca="1" si="63"/>
        <v>0.56266666666666665</v>
      </c>
      <c r="Z177" s="704">
        <f ca="1">IF(Data!$E$83=1,Data!$L$117+Data!$F$59+X177/Data!$L$116/Data!$E$59/Data!$L$115,Data!$E$90+Data!$F$59+X177/Data!$G$90/Data!$E$59/Data!$D$90)</f>
        <v>0.56266666666666665</v>
      </c>
      <c r="AA177" s="704">
        <f t="shared" ca="1" si="64"/>
        <v>0.76155555555555587</v>
      </c>
      <c r="AB177" s="699">
        <f ca="1">IF(Data!$C$59=1,TRUNC(($A120*0.9-W177)/$P$89*2000*PI()*0.8,0),IF(Data!$C$59=2,TRUNC(($A120*0.8-(W177+0.1))/$P$89*2000*PI()*0.8,0),""))</f>
        <v>89</v>
      </c>
      <c r="AC177" s="699"/>
      <c r="AD177" s="706"/>
      <c r="AE177" s="707">
        <f t="shared" ca="1" si="65"/>
        <v>362.66666666666669</v>
      </c>
      <c r="AF177" s="707">
        <f t="shared" ca="1" si="66"/>
        <v>5440</v>
      </c>
      <c r="AG177" s="704">
        <f t="shared" ca="1" si="67"/>
        <v>0.19693333333333335</v>
      </c>
      <c r="AH177" s="704">
        <f t="shared" ca="1" si="55"/>
        <v>0.19693333333333335</v>
      </c>
      <c r="AI177" s="704">
        <f t="shared" ca="1" si="68"/>
        <v>0.21881481481481482</v>
      </c>
      <c r="AJ177" s="704">
        <f ca="1">IF(Data!$E$83=1,Data!$L$117+Data!$F$59+AH177/Data!$L$116/Data!$E$59/Data!$L$115,Data!$E$90+Data!$F$59+AH177/Data!$G$90/Data!$E$59/Data!$D$90)</f>
        <v>0.21881481481481482</v>
      </c>
      <c r="AK177" s="704">
        <f t="shared" ca="1" si="69"/>
        <v>0.76155555555555587</v>
      </c>
      <c r="AL177" s="699">
        <f ca="1">IF(Data!$C$59=1,TRUNC(($A120*0.9-AG177)/$P$88*2000*PI()*0.8,0),IF(Data!$C$59=2,TRUNC(($A120*0.8-(AG177+0.1))/$P$88*2000*PI()*0.8,0),""))</f>
        <v>613</v>
      </c>
      <c r="AM177" s="706"/>
      <c r="AN177" s="707">
        <f t="shared" ca="1" si="70"/>
        <v>906.66666666666674</v>
      </c>
      <c r="AO177" s="707">
        <f t="shared" ca="1" si="71"/>
        <v>5440</v>
      </c>
      <c r="AP177" s="704">
        <f t="shared" ca="1" si="72"/>
        <v>0.35399999999999998</v>
      </c>
      <c r="AQ177" s="704">
        <f t="shared" ca="1" si="56"/>
        <v>0.35399999999999998</v>
      </c>
      <c r="AR177" s="704">
        <f t="shared" ca="1" si="73"/>
        <v>0.39333333333333331</v>
      </c>
      <c r="AS177" s="704">
        <f ca="1">IF(Data!$E$83=1,Data!$L$117+Data!$F$59+AQ177/Data!$L$116/Data!$E$59/Data!$L$115,Data!$E$90+Data!$F$59+AQ177/Data!$G$90/Data!$E$59/Data!$D$90)</f>
        <v>0.39333333333333331</v>
      </c>
      <c r="AT177" s="704">
        <f t="shared" ca="1" si="74"/>
        <v>0.76155555555555587</v>
      </c>
      <c r="AU177" s="699">
        <f ca="1">IF(Data!$C$59=1,TRUNC(($A120*0.9-AP177)/$P$87*2000*PI()*0.8,0),IF(Data!$C$59=2,TRUNC(($A120*0.8-(AP177+0.1))/$P$87*2000*PI()*0.8,0),""))</f>
        <v>166</v>
      </c>
      <c r="AV177" s="706"/>
      <c r="AW177" s="707">
        <f t="shared" ca="1" si="57"/>
        <v>272</v>
      </c>
      <c r="AX177" s="707">
        <f t="shared" ca="1" si="58"/>
        <v>5440</v>
      </c>
      <c r="AY177" s="704">
        <f t="shared" ca="1" si="75"/>
        <v>0.11800000000000001</v>
      </c>
      <c r="AZ177" s="704">
        <f t="shared" ca="1" si="59"/>
        <v>0.11800000000000001</v>
      </c>
      <c r="BA177" s="704">
        <f t="shared" ca="1" si="76"/>
        <v>0.13111111111111112</v>
      </c>
      <c r="BB177" s="704">
        <f ca="1">IF(Data!$E$83=1,Data!$L$117+Data!$F$59+AZ177/Data!$L$116/Data!$E$59/Data!$L$115,Data!$E$90+Data!$F$59+AZ177/Data!$G$90/Data!$E$59/Data!$D$90)</f>
        <v>0.13111111111111112</v>
      </c>
      <c r="BC177" s="704">
        <f t="shared" ca="1" si="77"/>
        <v>0.76155555555555587</v>
      </c>
      <c r="BD177" s="699">
        <f ca="1">IF(Data!$C$59=1,TRUNC(($A120*0.9-AY177)/$P$86*2000*PI()*0.8,0),IF(Data!$C$59=2,TRUNC(($A120*0.8-(AY177+0.1))/$P$86*2000*PI()*0.8,0),""))</f>
        <v>950</v>
      </c>
      <c r="BE177" s="699"/>
      <c r="BF177" s="704">
        <f t="shared" ca="1" si="78"/>
        <v>1.1056889670329642</v>
      </c>
      <c r="BG177" s="707">
        <f t="shared" ca="1" si="79"/>
        <v>8000</v>
      </c>
      <c r="BH177" s="707">
        <f t="shared" ca="1" si="80"/>
        <v>1333.3333333333335</v>
      </c>
      <c r="BI177" s="699">
        <f t="shared" ca="1" si="81"/>
        <v>0.65999999999999992</v>
      </c>
      <c r="BJ177" s="699">
        <f ca="1">IF(Data!$C$59=1,TRUNC(($A54*0.9-BI177)/$P$89*2000*PI()*0.8,0),IF(Data!$C$59=2,TRUNC(($A54*0.8-(BI177+0.1))/$P$89*2000*PI()*0.8,0),""))</f>
        <v>168</v>
      </c>
      <c r="BK177" s="699"/>
      <c r="BL177" s="704">
        <f t="shared" ca="1" si="82"/>
        <v>1.1056889670329642</v>
      </c>
      <c r="BM177" s="707">
        <f t="shared" ca="1" si="83"/>
        <v>8000</v>
      </c>
      <c r="BN177" s="707">
        <f t="shared" ca="1" si="84"/>
        <v>533.33333333333337</v>
      </c>
      <c r="BO177" s="699">
        <f t="shared" ca="1" si="85"/>
        <v>0.25666666666666671</v>
      </c>
      <c r="BP177" s="699">
        <f ca="1">IF(Data!$C$59=1,TRUNC(($A54*0.9-BO177)/$P$88*2000*PI()*0.8,0),IF(Data!$C$59=2,TRUNC(($A54*0.8-(BO177+0.1))/$P$88*2000*PI()*0.8,0),""))</f>
        <v>927</v>
      </c>
      <c r="BQ177" s="699"/>
      <c r="BR177" s="704">
        <f t="shared" ca="1" si="86"/>
        <v>1.1056889670329642</v>
      </c>
      <c r="BS177" s="707">
        <f t="shared" ca="1" si="87"/>
        <v>8000</v>
      </c>
      <c r="BT177" s="707">
        <f t="shared" ca="1" si="88"/>
        <v>1333.3333333333335</v>
      </c>
      <c r="BU177" s="699">
        <f t="shared" ca="1" si="89"/>
        <v>0.44999999999999996</v>
      </c>
      <c r="BV177" s="699">
        <f ca="1">IF(Data!$C$59=1,TRUNC(($A54*0.9-BU177)/$P$87*2000*PI()*0.8,0),IF(Data!$C$59=2,TRUNC(($A54*0.8-(BU177+0.1))/$P$87*2000*PI()*0.8,0),""))</f>
        <v>274</v>
      </c>
      <c r="BW177" s="699"/>
      <c r="BX177" s="704">
        <f t="shared" ca="1" si="90"/>
        <v>1.1056889670329642</v>
      </c>
      <c r="BY177" s="707">
        <f t="shared" ca="1" si="91"/>
        <v>8000</v>
      </c>
      <c r="BZ177" s="707">
        <f t="shared" ca="1" si="92"/>
        <v>400</v>
      </c>
      <c r="CA177" s="699">
        <f t="shared" ca="1" si="93"/>
        <v>0.15000000000000002</v>
      </c>
      <c r="CB177" s="699">
        <f ca="1">IF(Data!$C$59=1,TRUNC(($A54*0.9-CA177)/$P$86*2000*PI()*0.8,0),IF(Data!$C$59=2,TRUNC(($A54*0.8-(CA177+0.1))/$P$86*2000*PI()*0.8,0),""))</f>
        <v>1416</v>
      </c>
    </row>
    <row r="178" spans="21:80">
      <c r="U178" s="707">
        <f t="shared" ca="1" si="60"/>
        <v>933.33333333333326</v>
      </c>
      <c r="V178" s="707">
        <f t="shared" ca="1" si="61"/>
        <v>5600</v>
      </c>
      <c r="W178" s="704">
        <f t="shared" ca="1" si="62"/>
        <v>0.51600000000000001</v>
      </c>
      <c r="X178" s="704">
        <f t="shared" ca="1" si="54"/>
        <v>0.51600000000000001</v>
      </c>
      <c r="Y178" s="704">
        <f t="shared" ca="1" si="63"/>
        <v>0.57333333333333336</v>
      </c>
      <c r="Z178" s="704">
        <f ca="1">IF(Data!$E$83=1,Data!$L$117+Data!$F$59+X178/Data!$L$116/Data!$E$59/Data!$L$115,Data!$E$90+Data!$F$59+X178/Data!$G$90/Data!$E$59/Data!$D$90)</f>
        <v>0.57333333333333336</v>
      </c>
      <c r="AA178" s="704">
        <f t="shared" ca="1" si="64"/>
        <v>0.75764444444444479</v>
      </c>
      <c r="AB178" s="699">
        <f ca="1">IF(Data!$C$59=1,TRUNC(($A121*0.9-W178)/$P$89*2000*PI()*0.8,0),IF(Data!$C$59=2,TRUNC(($A121*0.8-(W178+0.1))/$P$89*2000*PI()*0.8,0),""))</f>
        <v>83</v>
      </c>
      <c r="AC178" s="699"/>
      <c r="AD178" s="706"/>
      <c r="AE178" s="707">
        <f t="shared" ca="1" si="65"/>
        <v>373.33333333333331</v>
      </c>
      <c r="AF178" s="707">
        <f t="shared" ca="1" si="66"/>
        <v>5600</v>
      </c>
      <c r="AG178" s="704">
        <f t="shared" ca="1" si="67"/>
        <v>0.20066666666666669</v>
      </c>
      <c r="AH178" s="704">
        <f t="shared" ca="1" si="55"/>
        <v>0.20066666666666669</v>
      </c>
      <c r="AI178" s="704">
        <f t="shared" ca="1" si="68"/>
        <v>0.22296296296296297</v>
      </c>
      <c r="AJ178" s="704">
        <f ca="1">IF(Data!$E$83=1,Data!$L$117+Data!$F$59+AH178/Data!$L$116/Data!$E$59/Data!$L$115,Data!$E$90+Data!$F$59+AH178/Data!$G$90/Data!$E$59/Data!$D$90)</f>
        <v>0.22296296296296297</v>
      </c>
      <c r="AK178" s="704">
        <f t="shared" ca="1" si="69"/>
        <v>0.75764444444444479</v>
      </c>
      <c r="AL178" s="699">
        <f ca="1">IF(Data!$C$59=1,TRUNC(($A121*0.9-AG178)/$P$88*2000*PI()*0.8,0),IF(Data!$C$59=2,TRUNC(($A121*0.8-(AG178+0.1))/$P$88*2000*PI()*0.8,0),""))</f>
        <v>604</v>
      </c>
      <c r="AM178" s="706"/>
      <c r="AN178" s="707">
        <f t="shared" ca="1" si="70"/>
        <v>933.33333333333326</v>
      </c>
      <c r="AO178" s="707">
        <f t="shared" ca="1" si="71"/>
        <v>5600</v>
      </c>
      <c r="AP178" s="704">
        <f t="shared" ca="1" si="72"/>
        <v>0.36</v>
      </c>
      <c r="AQ178" s="704">
        <f t="shared" ca="1" si="56"/>
        <v>0.36</v>
      </c>
      <c r="AR178" s="704">
        <f t="shared" ca="1" si="73"/>
        <v>0.39999999999999997</v>
      </c>
      <c r="AS178" s="704">
        <f ca="1">IF(Data!$E$83=1,Data!$L$117+Data!$F$59+AQ178/Data!$L$116/Data!$E$59/Data!$L$115,Data!$E$90+Data!$F$59+AQ178/Data!$G$90/Data!$E$59/Data!$D$90)</f>
        <v>0.39999999999999997</v>
      </c>
      <c r="AT178" s="704">
        <f t="shared" ca="1" si="74"/>
        <v>0.75764444444444479</v>
      </c>
      <c r="AU178" s="699">
        <f ca="1">IF(Data!$C$59=1,TRUNC(($A121*0.9-AP178)/$P$87*2000*PI()*0.8,0),IF(Data!$C$59=2,TRUNC(($A121*0.8-(AP178+0.1))/$P$87*2000*PI()*0.8,0),""))</f>
        <v>161</v>
      </c>
      <c r="AV178" s="706"/>
      <c r="AW178" s="707">
        <f t="shared" ca="1" si="57"/>
        <v>280</v>
      </c>
      <c r="AX178" s="707">
        <f t="shared" ca="1" si="58"/>
        <v>5600</v>
      </c>
      <c r="AY178" s="704">
        <f t="shared" ca="1" si="75"/>
        <v>0.12</v>
      </c>
      <c r="AZ178" s="704">
        <f t="shared" ca="1" si="59"/>
        <v>0.12</v>
      </c>
      <c r="BA178" s="704">
        <f t="shared" ca="1" si="76"/>
        <v>0.13333333333333333</v>
      </c>
      <c r="BB178" s="704">
        <f ca="1">IF(Data!$E$83=1,Data!$L$117+Data!$F$59+AZ178/Data!$L$116/Data!$E$59/Data!$L$115,Data!$E$90+Data!$F$59+AZ178/Data!$G$90/Data!$E$59/Data!$D$90)</f>
        <v>0.13333333333333333</v>
      </c>
      <c r="BC178" s="704">
        <f t="shared" ca="1" si="77"/>
        <v>0.75764444444444479</v>
      </c>
      <c r="BD178" s="699">
        <f ca="1">IF(Data!$C$59=1,TRUNC(($A121*0.9-AY178)/$P$86*2000*PI()*0.8,0),IF(Data!$C$59=2,TRUNC(($A121*0.8-(AY178+0.1))/$P$86*2000*PI()*0.8,0),""))</f>
        <v>941</v>
      </c>
      <c r="BE178" s="699"/>
      <c r="BF178" s="704">
        <f t="shared" ca="1" si="78"/>
        <v>1.0454196043956014</v>
      </c>
      <c r="BG178" s="707">
        <f t="shared" ca="1" si="79"/>
        <v>8000</v>
      </c>
      <c r="BH178" s="707">
        <f t="shared" ca="1" si="80"/>
        <v>1333.3333333333335</v>
      </c>
      <c r="BI178" s="699">
        <f t="shared" ca="1" si="81"/>
        <v>0.65999999999999992</v>
      </c>
      <c r="BJ178" s="699">
        <f ca="1">IF(Data!$C$59=1,TRUNC(($A55*0.9-BI178)/$P$89*2000*PI()*0.8,0),IF(Data!$C$59=2,TRUNC(($A55*0.8-(BI178+0.1))/$P$89*2000*PI()*0.8,0),""))</f>
        <v>141</v>
      </c>
      <c r="BK178" s="699"/>
      <c r="BL178" s="704">
        <f t="shared" ca="1" si="82"/>
        <v>1.0454196043956014</v>
      </c>
      <c r="BM178" s="707">
        <f t="shared" ca="1" si="83"/>
        <v>8000</v>
      </c>
      <c r="BN178" s="707">
        <f t="shared" ca="1" si="84"/>
        <v>533.33333333333337</v>
      </c>
      <c r="BO178" s="699">
        <f t="shared" ca="1" si="85"/>
        <v>0.25666666666666671</v>
      </c>
      <c r="BP178" s="699">
        <f ca="1">IF(Data!$C$59=1,TRUNC(($A55*0.9-BO178)/$P$88*2000*PI()*0.8,0),IF(Data!$C$59=2,TRUNC(($A55*0.8-(BO178+0.1))/$P$88*2000*PI()*0.8,0),""))</f>
        <v>859</v>
      </c>
      <c r="BQ178" s="699"/>
      <c r="BR178" s="704">
        <f t="shared" ca="1" si="86"/>
        <v>1.0454196043956014</v>
      </c>
      <c r="BS178" s="707">
        <f t="shared" ca="1" si="87"/>
        <v>8000</v>
      </c>
      <c r="BT178" s="707">
        <f t="shared" ca="1" si="88"/>
        <v>1333.3333333333335</v>
      </c>
      <c r="BU178" s="699">
        <f t="shared" ca="1" si="89"/>
        <v>0.44999999999999996</v>
      </c>
      <c r="BV178" s="699">
        <f ca="1">IF(Data!$C$59=1,TRUNC(($A55*0.9-BU178)/$P$87*2000*PI()*0.8,0),IF(Data!$C$59=2,TRUNC(($A55*0.8-(BU178+0.1))/$P$87*2000*PI()*0.8,0),""))</f>
        <v>246</v>
      </c>
      <c r="BW178" s="699"/>
      <c r="BX178" s="704">
        <f t="shared" ca="1" si="90"/>
        <v>1.0454196043956014</v>
      </c>
      <c r="BY178" s="707">
        <f t="shared" ca="1" si="91"/>
        <v>8000</v>
      </c>
      <c r="BZ178" s="707">
        <f t="shared" ca="1" si="92"/>
        <v>400</v>
      </c>
      <c r="CA178" s="699">
        <f t="shared" ca="1" si="93"/>
        <v>0.15000000000000002</v>
      </c>
      <c r="CB178" s="699">
        <f ca="1">IF(Data!$C$59=1,TRUNC(($A55*0.9-CA178)/$P$86*2000*PI()*0.8,0),IF(Data!$C$59=2,TRUNC(($A55*0.8-(CA178+0.1))/$P$86*2000*PI()*0.8,0),""))</f>
        <v>1325</v>
      </c>
    </row>
    <row r="179" spans="21:80">
      <c r="U179" s="707">
        <f t="shared" ca="1" si="60"/>
        <v>960</v>
      </c>
      <c r="V179" s="707">
        <f t="shared" ca="1" si="61"/>
        <v>5760</v>
      </c>
      <c r="W179" s="704">
        <f t="shared" ca="1" si="62"/>
        <v>0.52559999999999996</v>
      </c>
      <c r="X179" s="704">
        <f t="shared" ca="1" si="54"/>
        <v>0.52559999999999996</v>
      </c>
      <c r="Y179" s="704">
        <f t="shared" ca="1" si="63"/>
        <v>0.58399999999999996</v>
      </c>
      <c r="Z179" s="704">
        <f ca="1">IF(Data!$E$83=1,Data!$L$117+Data!$F$59+X179/Data!$L$116/Data!$E$59/Data!$L$115,Data!$E$90+Data!$F$59+X179/Data!$G$90/Data!$E$59/Data!$D$90)</f>
        <v>0.58399999999999996</v>
      </c>
      <c r="AA179" s="704">
        <f t="shared" ca="1" si="64"/>
        <v>0.7537333333333337</v>
      </c>
      <c r="AB179" s="699">
        <f ca="1">IF(Data!$C$59=1,TRUNC(($A122*0.9-W179)/$P$89*2000*PI()*0.8,0),IF(Data!$C$59=2,TRUNC(($A122*0.8-(W179+0.1))/$P$89*2000*PI()*0.8,0),""))</f>
        <v>76</v>
      </c>
      <c r="AC179" s="699"/>
      <c r="AD179" s="706"/>
      <c r="AE179" s="707">
        <f t="shared" ca="1" si="65"/>
        <v>384</v>
      </c>
      <c r="AF179" s="707">
        <f t="shared" ca="1" si="66"/>
        <v>5760</v>
      </c>
      <c r="AG179" s="704">
        <f t="shared" ca="1" si="67"/>
        <v>0.20440000000000003</v>
      </c>
      <c r="AH179" s="704">
        <f t="shared" ca="1" si="55"/>
        <v>0.20440000000000003</v>
      </c>
      <c r="AI179" s="704">
        <f t="shared" ca="1" si="68"/>
        <v>0.22711111111111112</v>
      </c>
      <c r="AJ179" s="704">
        <f ca="1">IF(Data!$E$83=1,Data!$L$117+Data!$F$59+AH179/Data!$L$116/Data!$E$59/Data!$L$115,Data!$E$90+Data!$F$59+AH179/Data!$G$90/Data!$E$59/Data!$D$90)</f>
        <v>0.22711111111111112</v>
      </c>
      <c r="AK179" s="704">
        <f t="shared" ca="1" si="69"/>
        <v>0.7537333333333337</v>
      </c>
      <c r="AL179" s="699">
        <f ca="1">IF(Data!$C$59=1,TRUNC(($A122*0.9-AG179)/$P$88*2000*PI()*0.8,0),IF(Data!$C$59=2,TRUNC(($A122*0.8-(AG179+0.1))/$P$88*2000*PI()*0.8,0),""))</f>
        <v>595</v>
      </c>
      <c r="AM179" s="706"/>
      <c r="AN179" s="707">
        <f t="shared" ca="1" si="70"/>
        <v>960</v>
      </c>
      <c r="AO179" s="707">
        <f t="shared" ca="1" si="71"/>
        <v>5760</v>
      </c>
      <c r="AP179" s="704">
        <f t="shared" ca="1" si="72"/>
        <v>0.36599999999999999</v>
      </c>
      <c r="AQ179" s="704">
        <f t="shared" ca="1" si="56"/>
        <v>0.36599999999999999</v>
      </c>
      <c r="AR179" s="704">
        <f t="shared" ca="1" si="73"/>
        <v>0.40666666666666662</v>
      </c>
      <c r="AS179" s="704">
        <f ca="1">IF(Data!$E$83=1,Data!$L$117+Data!$F$59+AQ179/Data!$L$116/Data!$E$59/Data!$L$115,Data!$E$90+Data!$F$59+AQ179/Data!$G$90/Data!$E$59/Data!$D$90)</f>
        <v>0.40666666666666662</v>
      </c>
      <c r="AT179" s="704">
        <f t="shared" ca="1" si="74"/>
        <v>0.7537333333333337</v>
      </c>
      <c r="AU179" s="699">
        <f ca="1">IF(Data!$C$59=1,TRUNC(($A122*0.9-AP179)/$P$87*2000*PI()*0.8,0),IF(Data!$C$59=2,TRUNC(($A122*0.8-(AP179+0.1))/$P$87*2000*PI()*0.8,0),""))</f>
        <v>157</v>
      </c>
      <c r="AV179" s="706"/>
      <c r="AW179" s="707">
        <f t="shared" ca="1" si="57"/>
        <v>288</v>
      </c>
      <c r="AX179" s="707">
        <f t="shared" ca="1" si="58"/>
        <v>5760</v>
      </c>
      <c r="AY179" s="704">
        <f t="shared" ca="1" si="75"/>
        <v>0.122</v>
      </c>
      <c r="AZ179" s="704">
        <f t="shared" ca="1" si="59"/>
        <v>0.122</v>
      </c>
      <c r="BA179" s="704">
        <f t="shared" ca="1" si="76"/>
        <v>0.13555555555555554</v>
      </c>
      <c r="BB179" s="704">
        <f ca="1">IF(Data!$E$83=1,Data!$L$117+Data!$F$59+AZ179/Data!$L$116/Data!$E$59/Data!$L$115,Data!$E$90+Data!$F$59+AZ179/Data!$G$90/Data!$E$59/Data!$D$90)</f>
        <v>0.13555555555555554</v>
      </c>
      <c r="BC179" s="704">
        <f t="shared" ca="1" si="77"/>
        <v>0.7537333333333337</v>
      </c>
      <c r="BD179" s="699">
        <f ca="1">IF(Data!$C$59=1,TRUNC(($A122*0.9-AY179)/$P$86*2000*PI()*0.8,0),IF(Data!$C$59=2,TRUNC(($A122*0.8-(AY179+0.1))/$P$86*2000*PI()*0.8,0),""))</f>
        <v>932</v>
      </c>
      <c r="BE179" s="699"/>
      <c r="BF179" s="704">
        <f t="shared" ca="1" si="78"/>
        <v>0.98455384615384289</v>
      </c>
      <c r="BG179" s="707">
        <f t="shared" ca="1" si="79"/>
        <v>8000</v>
      </c>
      <c r="BH179" s="707">
        <f t="shared" ca="1" si="80"/>
        <v>1333.3333333333335</v>
      </c>
      <c r="BI179" s="699">
        <f t="shared" ca="1" si="81"/>
        <v>0.65999999999999992</v>
      </c>
      <c r="BJ179" s="699">
        <f ca="1">IF(Data!$C$59=1,TRUNC(($A56*0.9-BI179)/$P$89*2000*PI()*0.8,0),IF(Data!$C$59=2,TRUNC(($A56*0.8-(BI179+0.1))/$P$89*2000*PI()*0.8,0),""))</f>
        <v>113</v>
      </c>
      <c r="BK179" s="699"/>
      <c r="BL179" s="704">
        <f t="shared" ca="1" si="82"/>
        <v>0.98455384615384289</v>
      </c>
      <c r="BM179" s="707">
        <f t="shared" ca="1" si="83"/>
        <v>8000</v>
      </c>
      <c r="BN179" s="707">
        <f t="shared" ca="1" si="84"/>
        <v>533.33333333333337</v>
      </c>
      <c r="BO179" s="699">
        <f t="shared" ca="1" si="85"/>
        <v>0.25666666666666671</v>
      </c>
      <c r="BP179" s="699">
        <f ca="1">IF(Data!$C$59=1,TRUNC(($A56*0.9-BO179)/$P$88*2000*PI()*0.8,0),IF(Data!$C$59=2,TRUNC(($A56*0.8-(BO179+0.1))/$P$88*2000*PI()*0.8,0),""))</f>
        <v>790</v>
      </c>
      <c r="BQ179" s="699"/>
      <c r="BR179" s="704">
        <f t="shared" ca="1" si="86"/>
        <v>0.98455384615384289</v>
      </c>
      <c r="BS179" s="707">
        <f t="shared" ca="1" si="87"/>
        <v>8000</v>
      </c>
      <c r="BT179" s="707">
        <f t="shared" ca="1" si="88"/>
        <v>1333.3333333333335</v>
      </c>
      <c r="BU179" s="699">
        <f t="shared" ca="1" si="89"/>
        <v>0.44999999999999996</v>
      </c>
      <c r="BV179" s="699">
        <f ca="1">IF(Data!$C$59=1,TRUNC(($A56*0.9-BU179)/$P$87*2000*PI()*0.8,0),IF(Data!$C$59=2,TRUNC(($A56*0.8-(BU179+0.1))/$P$87*2000*PI()*0.8,0),""))</f>
        <v>219</v>
      </c>
      <c r="BW179" s="699"/>
      <c r="BX179" s="704">
        <f t="shared" ca="1" si="90"/>
        <v>0.98455384615384289</v>
      </c>
      <c r="BY179" s="707">
        <f t="shared" ca="1" si="91"/>
        <v>8000</v>
      </c>
      <c r="BZ179" s="707">
        <f t="shared" ca="1" si="92"/>
        <v>400</v>
      </c>
      <c r="CA179" s="699">
        <f t="shared" ca="1" si="93"/>
        <v>0.15000000000000002</v>
      </c>
      <c r="CB179" s="699">
        <f ca="1">IF(Data!$C$59=1,TRUNC(($A56*0.9-CA179)/$P$86*2000*PI()*0.8,0),IF(Data!$C$59=2,TRUNC(($A56*0.8-(CA179+0.1))/$P$86*2000*PI()*0.8,0),""))</f>
        <v>1233</v>
      </c>
    </row>
    <row r="180" spans="21:80">
      <c r="U180" s="707">
        <f t="shared" ca="1" si="60"/>
        <v>986.66666666666674</v>
      </c>
      <c r="V180" s="707">
        <f t="shared" ca="1" si="61"/>
        <v>5920</v>
      </c>
      <c r="W180" s="704">
        <f t="shared" ca="1" si="62"/>
        <v>0.53520000000000001</v>
      </c>
      <c r="X180" s="704">
        <f t="shared" ca="1" si="54"/>
        <v>0.53520000000000001</v>
      </c>
      <c r="Y180" s="704">
        <f t="shared" ca="1" si="63"/>
        <v>0.59466666666666668</v>
      </c>
      <c r="Z180" s="704">
        <f ca="1">IF(Data!$E$83=1,Data!$L$117+Data!$F$59+X180/Data!$L$116/Data!$E$59/Data!$L$115,Data!$E$90+Data!$F$59+X180/Data!$G$90/Data!$E$59/Data!$D$90)</f>
        <v>0.59466666666666668</v>
      </c>
      <c r="AA180" s="704">
        <f t="shared" ca="1" si="64"/>
        <v>0.74982222222222261</v>
      </c>
      <c r="AB180" s="699">
        <f ca="1">IF(Data!$C$59=1,TRUNC(($A123*0.9-W180)/$P$89*2000*PI()*0.8,0),IF(Data!$C$59=2,TRUNC(($A123*0.8-(W180+0.1))/$P$89*2000*PI()*0.8,0),""))</f>
        <v>70</v>
      </c>
      <c r="AC180" s="699"/>
      <c r="AD180" s="706"/>
      <c r="AE180" s="707">
        <f t="shared" ca="1" si="65"/>
        <v>394.66666666666669</v>
      </c>
      <c r="AF180" s="707">
        <f t="shared" ca="1" si="66"/>
        <v>5920</v>
      </c>
      <c r="AG180" s="704">
        <f t="shared" ca="1" si="67"/>
        <v>0.20813333333333336</v>
      </c>
      <c r="AH180" s="704">
        <f t="shared" ca="1" si="55"/>
        <v>0.20813333333333336</v>
      </c>
      <c r="AI180" s="704">
        <f t="shared" ca="1" si="68"/>
        <v>0.23125925925925928</v>
      </c>
      <c r="AJ180" s="704">
        <f ca="1">IF(Data!$E$83=1,Data!$L$117+Data!$F$59+AH180/Data!$L$116/Data!$E$59/Data!$L$115,Data!$E$90+Data!$F$59+AH180/Data!$G$90/Data!$E$59/Data!$D$90)</f>
        <v>0.23125925925925928</v>
      </c>
      <c r="AK180" s="704">
        <f t="shared" ca="1" si="69"/>
        <v>0.74982222222222261</v>
      </c>
      <c r="AL180" s="699">
        <f ca="1">IF(Data!$C$59=1,TRUNC(($A123*0.9-AG180)/$P$88*2000*PI()*0.8,0),IF(Data!$C$59=2,TRUNC(($A123*0.8-(AG180+0.1))/$P$88*2000*PI()*0.8,0),""))</f>
        <v>586</v>
      </c>
      <c r="AM180" s="706"/>
      <c r="AN180" s="707">
        <f t="shared" ca="1" si="70"/>
        <v>986.66666666666674</v>
      </c>
      <c r="AO180" s="707">
        <f t="shared" ca="1" si="71"/>
        <v>5920</v>
      </c>
      <c r="AP180" s="704">
        <f t="shared" ca="1" si="72"/>
        <v>0.372</v>
      </c>
      <c r="AQ180" s="704">
        <f t="shared" ca="1" si="56"/>
        <v>0.372</v>
      </c>
      <c r="AR180" s="704">
        <f t="shared" ca="1" si="73"/>
        <v>0.41333333333333333</v>
      </c>
      <c r="AS180" s="704">
        <f ca="1">IF(Data!$E$83=1,Data!$L$117+Data!$F$59+AQ180/Data!$L$116/Data!$E$59/Data!$L$115,Data!$E$90+Data!$F$59+AQ180/Data!$G$90/Data!$E$59/Data!$D$90)</f>
        <v>0.41333333333333333</v>
      </c>
      <c r="AT180" s="704">
        <f t="shared" ca="1" si="74"/>
        <v>0.74982222222222261</v>
      </c>
      <c r="AU180" s="699">
        <f ca="1">IF(Data!$C$59=1,TRUNC(($A123*0.9-AP180)/$P$87*2000*PI()*0.8,0),IF(Data!$C$59=2,TRUNC(($A123*0.8-(AP180+0.1))/$P$87*2000*PI()*0.8,0),""))</f>
        <v>152</v>
      </c>
      <c r="AV180" s="706"/>
      <c r="AW180" s="707">
        <f t="shared" ca="1" si="57"/>
        <v>296</v>
      </c>
      <c r="AX180" s="707">
        <f t="shared" ca="1" si="58"/>
        <v>5920</v>
      </c>
      <c r="AY180" s="704">
        <f t="shared" ca="1" si="75"/>
        <v>0.124</v>
      </c>
      <c r="AZ180" s="704">
        <f t="shared" ca="1" si="59"/>
        <v>0.124</v>
      </c>
      <c r="BA180" s="704">
        <f t="shared" ca="1" si="76"/>
        <v>0.13777777777777778</v>
      </c>
      <c r="BB180" s="704">
        <f ca="1">IF(Data!$E$83=1,Data!$L$117+Data!$F$59+AZ180/Data!$L$116/Data!$E$59/Data!$L$115,Data!$E$90+Data!$F$59+AZ180/Data!$G$90/Data!$E$59/Data!$D$90)</f>
        <v>0.13777777777777778</v>
      </c>
      <c r="BC180" s="704">
        <f t="shared" ca="1" si="77"/>
        <v>0.74982222222222261</v>
      </c>
      <c r="BD180" s="699">
        <f ca="1">IF(Data!$C$59=1,TRUNC(($A123*0.9-AY180)/$P$86*2000*PI()*0.8,0),IF(Data!$C$59=2,TRUNC(($A123*0.8-(AY180+0.1))/$P$86*2000*PI()*0.8,0),""))</f>
        <v>922</v>
      </c>
      <c r="BE180" s="699"/>
      <c r="BF180" s="704">
        <f t="shared" ca="1" si="78"/>
        <v>0.92309169230768928</v>
      </c>
      <c r="BG180" s="707">
        <f t="shared" ca="1" si="79"/>
        <v>8000</v>
      </c>
      <c r="BH180" s="707">
        <f t="shared" ca="1" si="80"/>
        <v>1333.3333333333335</v>
      </c>
      <c r="BI180" s="699">
        <f t="shared" ca="1" si="81"/>
        <v>0.65999999999999992</v>
      </c>
      <c r="BJ180" s="699">
        <f ca="1">IF(Data!$C$59=1,TRUNC(($A57*0.9-BI180)/$P$89*2000*PI()*0.8,0),IF(Data!$C$59=2,TRUNC(($A57*0.8-(BI180+0.1))/$P$89*2000*PI()*0.8,0),""))</f>
        <v>85</v>
      </c>
      <c r="BK180" s="699"/>
      <c r="BL180" s="704">
        <f t="shared" ca="1" si="82"/>
        <v>0.92309169230768928</v>
      </c>
      <c r="BM180" s="707">
        <f t="shared" ca="1" si="83"/>
        <v>8000</v>
      </c>
      <c r="BN180" s="707">
        <f t="shared" ca="1" si="84"/>
        <v>533.33333333333337</v>
      </c>
      <c r="BO180" s="699">
        <f t="shared" ca="1" si="85"/>
        <v>0.25666666666666671</v>
      </c>
      <c r="BP180" s="699">
        <f ca="1">IF(Data!$C$59=1,TRUNC(($A57*0.9-BO180)/$P$88*2000*PI()*0.8,0),IF(Data!$C$59=2,TRUNC(($A57*0.8-(BO180+0.1))/$P$88*2000*PI()*0.8,0),""))</f>
        <v>721</v>
      </c>
      <c r="BQ180" s="699"/>
      <c r="BR180" s="704">
        <f t="shared" ca="1" si="86"/>
        <v>0.92309169230768928</v>
      </c>
      <c r="BS180" s="707">
        <f t="shared" ca="1" si="87"/>
        <v>8000</v>
      </c>
      <c r="BT180" s="707">
        <f t="shared" ca="1" si="88"/>
        <v>1333.3333333333335</v>
      </c>
      <c r="BU180" s="699">
        <f t="shared" ca="1" si="89"/>
        <v>0.44999999999999996</v>
      </c>
      <c r="BV180" s="699">
        <f ca="1">IF(Data!$C$59=1,TRUNC(($A57*0.9-BU180)/$P$87*2000*PI()*0.8,0),IF(Data!$C$59=2,TRUNC(($A57*0.8-(BU180+0.1))/$P$87*2000*PI()*0.8,0),""))</f>
        <v>191</v>
      </c>
      <c r="BW180" s="699"/>
      <c r="BX180" s="704">
        <f t="shared" ca="1" si="90"/>
        <v>0.92309169230768928</v>
      </c>
      <c r="BY180" s="707">
        <f t="shared" ca="1" si="91"/>
        <v>8000</v>
      </c>
      <c r="BZ180" s="707">
        <f t="shared" ca="1" si="92"/>
        <v>400</v>
      </c>
      <c r="CA180" s="699">
        <f t="shared" ca="1" si="93"/>
        <v>0.15000000000000002</v>
      </c>
      <c r="CB180" s="699">
        <f ca="1">IF(Data!$C$59=1,TRUNC(($A57*0.9-CA180)/$P$86*2000*PI()*0.8,0),IF(Data!$C$59=2,TRUNC(($A57*0.8-(CA180+0.1))/$P$86*2000*PI()*0.8,0),""))</f>
        <v>1140</v>
      </c>
    </row>
    <row r="181" spans="21:80">
      <c r="U181" s="707">
        <f t="shared" ca="1" si="60"/>
        <v>1013.3333333333333</v>
      </c>
      <c r="V181" s="707">
        <f t="shared" ca="1" si="61"/>
        <v>6080</v>
      </c>
      <c r="W181" s="704">
        <f t="shared" ca="1" si="62"/>
        <v>0.54479999999999995</v>
      </c>
      <c r="X181" s="704">
        <f t="shared" ca="1" si="54"/>
        <v>0.54479999999999995</v>
      </c>
      <c r="Y181" s="704">
        <f t="shared" ca="1" si="63"/>
        <v>0.60533333333333328</v>
      </c>
      <c r="Z181" s="704">
        <f ca="1">IF(Data!$E$83=1,Data!$L$117+Data!$F$59+X181/Data!$L$116/Data!$E$59/Data!$L$115,Data!$E$90+Data!$F$59+X181/Data!$G$90/Data!$E$59/Data!$D$90)</f>
        <v>0.60533333333333328</v>
      </c>
      <c r="AA181" s="704">
        <f t="shared" ca="1" si="64"/>
        <v>0.74591111111111152</v>
      </c>
      <c r="AB181" s="699">
        <f ca="1">IF(Data!$C$59=1,TRUNC(($A124*0.9-W181)/$P$89*2000*PI()*0.8,0),IF(Data!$C$59=2,TRUNC(($A124*0.8-(W181+0.1))/$P$89*2000*PI()*0.8,0),""))</f>
        <v>63</v>
      </c>
      <c r="AC181" s="699"/>
      <c r="AD181" s="706"/>
      <c r="AE181" s="707">
        <f t="shared" ca="1" si="65"/>
        <v>405.33333333333331</v>
      </c>
      <c r="AF181" s="707">
        <f t="shared" ca="1" si="66"/>
        <v>6080</v>
      </c>
      <c r="AG181" s="704">
        <f t="shared" ca="1" si="67"/>
        <v>0.2118666666666667</v>
      </c>
      <c r="AH181" s="704">
        <f t="shared" ca="1" si="55"/>
        <v>0.2118666666666667</v>
      </c>
      <c r="AI181" s="704">
        <f t="shared" ca="1" si="68"/>
        <v>0.23540740740740745</v>
      </c>
      <c r="AJ181" s="704">
        <f ca="1">IF(Data!$E$83=1,Data!$L$117+Data!$F$59+AH181/Data!$L$116/Data!$E$59/Data!$L$115,Data!$E$90+Data!$F$59+AH181/Data!$G$90/Data!$E$59/Data!$D$90)</f>
        <v>0.23540740740740745</v>
      </c>
      <c r="AK181" s="704">
        <f t="shared" ca="1" si="69"/>
        <v>0.74591111111111152</v>
      </c>
      <c r="AL181" s="699">
        <f ca="1">IF(Data!$C$59=1,TRUNC(($A124*0.9-AG181)/$P$88*2000*PI()*0.8,0),IF(Data!$C$59=2,TRUNC(($A124*0.8-(AG181+0.1))/$P$88*2000*PI()*0.8,0),""))</f>
        <v>577</v>
      </c>
      <c r="AM181" s="706"/>
      <c r="AN181" s="707">
        <f t="shared" ca="1" si="70"/>
        <v>1013.3333333333333</v>
      </c>
      <c r="AO181" s="707">
        <f t="shared" ca="1" si="71"/>
        <v>6080</v>
      </c>
      <c r="AP181" s="704">
        <f t="shared" ca="1" si="72"/>
        <v>0.378</v>
      </c>
      <c r="AQ181" s="704">
        <f t="shared" ca="1" si="56"/>
        <v>0.378</v>
      </c>
      <c r="AR181" s="704">
        <f t="shared" ca="1" si="73"/>
        <v>0.42</v>
      </c>
      <c r="AS181" s="704">
        <f ca="1">IF(Data!$E$83=1,Data!$L$117+Data!$F$59+AQ181/Data!$L$116/Data!$E$59/Data!$L$115,Data!$E$90+Data!$F$59+AQ181/Data!$G$90/Data!$E$59/Data!$D$90)</f>
        <v>0.42</v>
      </c>
      <c r="AT181" s="704">
        <f t="shared" ca="1" si="74"/>
        <v>0.74591111111111152</v>
      </c>
      <c r="AU181" s="699">
        <f ca="1">IF(Data!$C$59=1,TRUNC(($A124*0.9-AP181)/$P$87*2000*PI()*0.8,0),IF(Data!$C$59=2,TRUNC(($A124*0.8-(AP181+0.1))/$P$87*2000*PI()*0.8,0),""))</f>
        <v>147</v>
      </c>
      <c r="AV181" s="706"/>
      <c r="AW181" s="707">
        <f t="shared" ca="1" si="57"/>
        <v>304</v>
      </c>
      <c r="AX181" s="707">
        <f t="shared" ca="1" si="58"/>
        <v>6080</v>
      </c>
      <c r="AY181" s="704">
        <f t="shared" ca="1" si="75"/>
        <v>0.126</v>
      </c>
      <c r="AZ181" s="704">
        <f t="shared" ca="1" si="59"/>
        <v>0.126</v>
      </c>
      <c r="BA181" s="704">
        <f t="shared" ca="1" si="76"/>
        <v>0.13999999999999999</v>
      </c>
      <c r="BB181" s="704">
        <f ca="1">IF(Data!$E$83=1,Data!$L$117+Data!$F$59+AZ181/Data!$L$116/Data!$E$59/Data!$L$115,Data!$E$90+Data!$F$59+AZ181/Data!$G$90/Data!$E$59/Data!$D$90)</f>
        <v>0.13999999999999999</v>
      </c>
      <c r="BC181" s="704">
        <f t="shared" ca="1" si="77"/>
        <v>0.74591111111111152</v>
      </c>
      <c r="BD181" s="699">
        <f ca="1">IF(Data!$C$59=1,TRUNC(($A124*0.9-AY181)/$P$86*2000*PI()*0.8,0),IF(Data!$C$59=2,TRUNC(($A124*0.8-(AY181+0.1))/$P$86*2000*PI()*0.8,0),""))</f>
        <v>913</v>
      </c>
      <c r="BE181" s="699"/>
      <c r="BF181" s="704">
        <f t="shared" ca="1" si="78"/>
        <v>0.86103314285713972</v>
      </c>
      <c r="BG181" s="707">
        <f t="shared" ca="1" si="79"/>
        <v>8000</v>
      </c>
      <c r="BH181" s="707">
        <f t="shared" ca="1" si="80"/>
        <v>1333.3333333333335</v>
      </c>
      <c r="BI181" s="699">
        <f t="shared" ca="1" si="81"/>
        <v>0.65999999999999992</v>
      </c>
      <c r="BJ181" s="699">
        <f ca="1">IF(Data!$C$59=1,TRUNC(($A58*0.9-BI181)/$P$89*2000*PI()*0.8,0),IF(Data!$C$59=2,TRUNC(($A58*0.8-(BI181+0.1))/$P$89*2000*PI()*0.8,0),""))</f>
        <v>57</v>
      </c>
      <c r="BK181" s="699"/>
      <c r="BL181" s="704">
        <f t="shared" ca="1" si="82"/>
        <v>0.86103314285713972</v>
      </c>
      <c r="BM181" s="707">
        <f t="shared" ca="1" si="83"/>
        <v>8000</v>
      </c>
      <c r="BN181" s="707">
        <f t="shared" ca="1" si="84"/>
        <v>533.33333333333337</v>
      </c>
      <c r="BO181" s="699">
        <f t="shared" ca="1" si="85"/>
        <v>0.25666666666666671</v>
      </c>
      <c r="BP181" s="699">
        <f ca="1">IF(Data!$C$59=1,TRUNC(($A58*0.9-BO181)/$P$88*2000*PI()*0.8,0),IF(Data!$C$59=2,TRUNC(($A58*0.8-(BO181+0.1))/$P$88*2000*PI()*0.8,0),""))</f>
        <v>651</v>
      </c>
      <c r="BQ181" s="699"/>
      <c r="BR181" s="704">
        <f t="shared" ca="1" si="86"/>
        <v>0.86103314285713972</v>
      </c>
      <c r="BS181" s="707">
        <f t="shared" ca="1" si="87"/>
        <v>8000</v>
      </c>
      <c r="BT181" s="707">
        <f t="shared" ca="1" si="88"/>
        <v>1333.3333333333335</v>
      </c>
      <c r="BU181" s="699">
        <f t="shared" ca="1" si="89"/>
        <v>0.44999999999999996</v>
      </c>
      <c r="BV181" s="699">
        <f ca="1">IF(Data!$C$59=1,TRUNC(($A58*0.9-BU181)/$P$87*2000*PI()*0.8,0),IF(Data!$C$59=2,TRUNC(($A58*0.8-(BU181+0.1))/$P$87*2000*PI()*0.8,0),""))</f>
        <v>163</v>
      </c>
      <c r="BW181" s="699"/>
      <c r="BX181" s="704">
        <f t="shared" ca="1" si="90"/>
        <v>0.86103314285713972</v>
      </c>
      <c r="BY181" s="707">
        <f t="shared" ca="1" si="91"/>
        <v>8000</v>
      </c>
      <c r="BZ181" s="707">
        <f t="shared" ca="1" si="92"/>
        <v>400</v>
      </c>
      <c r="CA181" s="699">
        <f t="shared" ca="1" si="93"/>
        <v>0.15000000000000002</v>
      </c>
      <c r="CB181" s="699">
        <f ca="1">IF(Data!$C$59=1,TRUNC(($A58*0.9-CA181)/$P$86*2000*PI()*0.8,0),IF(Data!$C$59=2,TRUNC(($A58*0.8-(CA181+0.1))/$P$86*2000*PI()*0.8,0),""))</f>
        <v>1047</v>
      </c>
    </row>
    <row r="182" spans="21:80">
      <c r="U182" s="707">
        <f t="shared" ca="1" si="60"/>
        <v>1040</v>
      </c>
      <c r="V182" s="707">
        <f t="shared" ca="1" si="61"/>
        <v>6240</v>
      </c>
      <c r="W182" s="704">
        <f t="shared" ca="1" si="62"/>
        <v>0.5544</v>
      </c>
      <c r="X182" s="704">
        <f t="shared" ca="1" si="54"/>
        <v>0.5544</v>
      </c>
      <c r="Y182" s="704">
        <f t="shared" ca="1" si="63"/>
        <v>0.61599999999999999</v>
      </c>
      <c r="Z182" s="704">
        <f ca="1">IF(Data!$E$83=1,Data!$L$117+Data!$F$59+X182/Data!$L$116/Data!$E$59/Data!$L$115,Data!$E$90+Data!$F$59+X182/Data!$G$90/Data!$E$59/Data!$D$90)</f>
        <v>0.61599999999999999</v>
      </c>
      <c r="AA182" s="704">
        <f t="shared" ca="1" si="64"/>
        <v>0.74200000000000044</v>
      </c>
      <c r="AB182" s="699">
        <f ca="1">IF(Data!$C$59=1,TRUNC(($A125*0.9-W182)/$P$89*2000*PI()*0.8,0),IF(Data!$C$59=2,TRUNC(($A125*0.8-(W182+0.1))/$P$89*2000*PI()*0.8,0),""))</f>
        <v>57</v>
      </c>
      <c r="AC182" s="699"/>
      <c r="AD182" s="706"/>
      <c r="AE182" s="707">
        <f t="shared" ca="1" si="65"/>
        <v>416</v>
      </c>
      <c r="AF182" s="707">
        <f t="shared" ca="1" si="66"/>
        <v>6240</v>
      </c>
      <c r="AG182" s="704">
        <f t="shared" ca="1" si="67"/>
        <v>0.21560000000000001</v>
      </c>
      <c r="AH182" s="704">
        <f t="shared" ca="1" si="55"/>
        <v>0.21560000000000001</v>
      </c>
      <c r="AI182" s="704">
        <f t="shared" ca="1" si="68"/>
        <v>0.23955555555555558</v>
      </c>
      <c r="AJ182" s="704">
        <f ca="1">IF(Data!$E$83=1,Data!$L$117+Data!$F$59+AH182/Data!$L$116/Data!$E$59/Data!$L$115,Data!$E$90+Data!$F$59+AH182/Data!$G$90/Data!$E$59/Data!$D$90)</f>
        <v>0.23955555555555558</v>
      </c>
      <c r="AK182" s="704">
        <f t="shared" ca="1" si="69"/>
        <v>0.74200000000000044</v>
      </c>
      <c r="AL182" s="699">
        <f ca="1">IF(Data!$C$59=1,TRUNC(($A125*0.9-AG182)/$P$88*2000*PI()*0.8,0),IF(Data!$C$59=2,TRUNC(($A125*0.8-(AG182+0.1))/$P$88*2000*PI()*0.8,0),""))</f>
        <v>568</v>
      </c>
      <c r="AM182" s="706"/>
      <c r="AN182" s="707">
        <f t="shared" ca="1" si="70"/>
        <v>1040</v>
      </c>
      <c r="AO182" s="707">
        <f t="shared" ca="1" si="71"/>
        <v>6240</v>
      </c>
      <c r="AP182" s="704">
        <f t="shared" ca="1" si="72"/>
        <v>0.38400000000000001</v>
      </c>
      <c r="AQ182" s="704">
        <f t="shared" ca="1" si="56"/>
        <v>0.38400000000000001</v>
      </c>
      <c r="AR182" s="704">
        <f t="shared" ca="1" si="73"/>
        <v>0.42666666666666664</v>
      </c>
      <c r="AS182" s="704">
        <f ca="1">IF(Data!$E$83=1,Data!$L$117+Data!$F$59+AQ182/Data!$L$116/Data!$E$59/Data!$L$115,Data!$E$90+Data!$F$59+AQ182/Data!$G$90/Data!$E$59/Data!$D$90)</f>
        <v>0.42666666666666664</v>
      </c>
      <c r="AT182" s="704">
        <f t="shared" ca="1" si="74"/>
        <v>0.74200000000000044</v>
      </c>
      <c r="AU182" s="699">
        <f ca="1">IF(Data!$C$59=1,TRUNC(($A125*0.9-AP182)/$P$87*2000*PI()*0.8,0),IF(Data!$C$59=2,TRUNC(($A125*0.8-(AP182+0.1))/$P$87*2000*PI()*0.8,0),""))</f>
        <v>142</v>
      </c>
      <c r="AV182" s="706"/>
      <c r="AW182" s="707">
        <f t="shared" ca="1" si="57"/>
        <v>312</v>
      </c>
      <c r="AX182" s="707">
        <f t="shared" ca="1" si="58"/>
        <v>6240</v>
      </c>
      <c r="AY182" s="704">
        <f t="shared" ca="1" si="75"/>
        <v>0.128</v>
      </c>
      <c r="AZ182" s="704">
        <f t="shared" ca="1" si="59"/>
        <v>0.128</v>
      </c>
      <c r="BA182" s="704">
        <f t="shared" ca="1" si="76"/>
        <v>0.14222222222222222</v>
      </c>
      <c r="BB182" s="704">
        <f ca="1">IF(Data!$E$83=1,Data!$L$117+Data!$F$59+AZ182/Data!$L$116/Data!$E$59/Data!$L$115,Data!$E$90+Data!$F$59+AZ182/Data!$G$90/Data!$E$59/Data!$D$90)</f>
        <v>0.14222222222222222</v>
      </c>
      <c r="BC182" s="704">
        <f t="shared" ca="1" si="77"/>
        <v>0.74200000000000044</v>
      </c>
      <c r="BD182" s="699">
        <f ca="1">IF(Data!$C$59=1,TRUNC(($A125*0.9-AY182)/$P$86*2000*PI()*0.8,0),IF(Data!$C$59=2,TRUNC(($A125*0.8-(AY182+0.1))/$P$86*2000*PI()*0.8,0),""))</f>
        <v>904</v>
      </c>
      <c r="BE182" s="699"/>
      <c r="BF182" s="704">
        <f t="shared" ca="1" si="78"/>
        <v>0.79837819780219466</v>
      </c>
      <c r="BG182" s="707">
        <f t="shared" ca="1" si="79"/>
        <v>8000</v>
      </c>
      <c r="BH182" s="707">
        <f t="shared" ca="1" si="80"/>
        <v>1333.3333333333335</v>
      </c>
      <c r="BI182" s="699">
        <f t="shared" ca="1" si="81"/>
        <v>0.65999999999999992</v>
      </c>
      <c r="BJ182" s="699">
        <f ca="1">IF(Data!$C$59=1,TRUNC(($A59*0.9-BI182)/$P$89*2000*PI()*0.8,0),IF(Data!$C$59=2,TRUNC(($A59*0.8-(BI182+0.1))/$P$89*2000*PI()*0.8,0),""))</f>
        <v>29</v>
      </c>
      <c r="BK182" s="699"/>
      <c r="BL182" s="704">
        <f t="shared" ca="1" si="82"/>
        <v>0.79837819780219466</v>
      </c>
      <c r="BM182" s="707">
        <f t="shared" ca="1" si="83"/>
        <v>8000</v>
      </c>
      <c r="BN182" s="707">
        <f t="shared" ca="1" si="84"/>
        <v>533.33333333333337</v>
      </c>
      <c r="BO182" s="699">
        <f t="shared" ca="1" si="85"/>
        <v>0.25666666666666671</v>
      </c>
      <c r="BP182" s="699">
        <f ca="1">IF(Data!$C$59=1,TRUNC(($A59*0.9-BO182)/$P$88*2000*PI()*0.8,0),IF(Data!$C$59=2,TRUNC(($A59*0.8-(BO182+0.1))/$P$88*2000*PI()*0.8,0),""))</f>
        <v>580</v>
      </c>
      <c r="BQ182" s="699"/>
      <c r="BR182" s="704">
        <f t="shared" ca="1" si="86"/>
        <v>0.79837819780219466</v>
      </c>
      <c r="BS182" s="707">
        <f t="shared" ca="1" si="87"/>
        <v>8000</v>
      </c>
      <c r="BT182" s="707">
        <f t="shared" ca="1" si="88"/>
        <v>1333.3333333333335</v>
      </c>
      <c r="BU182" s="699">
        <f t="shared" ca="1" si="89"/>
        <v>0.44999999999999996</v>
      </c>
      <c r="BV182" s="699">
        <f ca="1">IF(Data!$C$59=1,TRUNC(($A59*0.9-BU182)/$P$87*2000*PI()*0.8,0),IF(Data!$C$59=2,TRUNC(($A59*0.8-(BU182+0.1))/$P$87*2000*PI()*0.8,0),""))</f>
        <v>134</v>
      </c>
      <c r="BW182" s="699"/>
      <c r="BX182" s="704">
        <f t="shared" ca="1" si="90"/>
        <v>0.79837819780219466</v>
      </c>
      <c r="BY182" s="707">
        <f t="shared" ca="1" si="91"/>
        <v>8000</v>
      </c>
      <c r="BZ182" s="707">
        <f t="shared" ca="1" si="92"/>
        <v>400</v>
      </c>
      <c r="CA182" s="699">
        <f t="shared" ca="1" si="93"/>
        <v>0.15000000000000002</v>
      </c>
      <c r="CB182" s="699">
        <f ca="1">IF(Data!$C$59=1,TRUNC(($A59*0.9-CA182)/$P$86*2000*PI()*0.8,0),IF(Data!$C$59=2,TRUNC(($A59*0.8-(CA182+0.1))/$P$86*2000*PI()*0.8,0),""))</f>
        <v>952</v>
      </c>
    </row>
    <row r="183" spans="21:80">
      <c r="U183" s="707">
        <f t="shared" ca="1" si="60"/>
        <v>1066.6666666666667</v>
      </c>
      <c r="V183" s="707">
        <f t="shared" ca="1" si="61"/>
        <v>6400</v>
      </c>
      <c r="W183" s="704">
        <f t="shared" ca="1" si="62"/>
        <v>0.56400000000000006</v>
      </c>
      <c r="X183" s="704">
        <f t="shared" ca="1" si="54"/>
        <v>0.56400000000000006</v>
      </c>
      <c r="Y183" s="704">
        <f t="shared" ca="1" si="63"/>
        <v>0.62666666666666671</v>
      </c>
      <c r="Z183" s="704">
        <f ca="1">IF(Data!$E$83=1,Data!$L$117+Data!$F$59+X183/Data!$L$116/Data!$E$59/Data!$L$115,Data!$E$90+Data!$F$59+X183/Data!$G$90/Data!$E$59/Data!$D$90)</f>
        <v>0.62666666666666671</v>
      </c>
      <c r="AA183" s="704">
        <f t="shared" ca="1" si="64"/>
        <v>0.73808888888888935</v>
      </c>
      <c r="AB183" s="699">
        <f ca="1">IF(Data!$C$59=1,TRUNC(($A126*0.9-W183)/$P$89*2000*PI()*0.8,0),IF(Data!$C$59=2,TRUNC(($A126*0.8-(W183+0.1))/$P$89*2000*PI()*0.8,0),""))</f>
        <v>50</v>
      </c>
      <c r="AC183" s="699"/>
      <c r="AD183" s="706"/>
      <c r="AE183" s="707">
        <f t="shared" ca="1" si="65"/>
        <v>426.66666666666669</v>
      </c>
      <c r="AF183" s="707">
        <f t="shared" ca="1" si="66"/>
        <v>6400</v>
      </c>
      <c r="AG183" s="704">
        <f t="shared" ca="1" si="67"/>
        <v>0.21933333333333335</v>
      </c>
      <c r="AH183" s="704">
        <f t="shared" ca="1" si="55"/>
        <v>0.21933333333333335</v>
      </c>
      <c r="AI183" s="704">
        <f t="shared" ca="1" si="68"/>
        <v>0.24370370370370373</v>
      </c>
      <c r="AJ183" s="704">
        <f ca="1">IF(Data!$E$83=1,Data!$L$117+Data!$F$59+AH183/Data!$L$116/Data!$E$59/Data!$L$115,Data!$E$90+Data!$F$59+AH183/Data!$G$90/Data!$E$59/Data!$D$90)</f>
        <v>0.24370370370370373</v>
      </c>
      <c r="AK183" s="704">
        <f t="shared" ca="1" si="69"/>
        <v>0.73808888888888935</v>
      </c>
      <c r="AL183" s="699">
        <f ca="1">IF(Data!$C$59=1,TRUNC(($A126*0.9-AG183)/$P$88*2000*PI()*0.8,0),IF(Data!$C$59=2,TRUNC(($A126*0.8-(AG183+0.1))/$P$88*2000*PI()*0.8,0),""))</f>
        <v>559</v>
      </c>
      <c r="AM183" s="706"/>
      <c r="AN183" s="707">
        <f t="shared" ca="1" si="70"/>
        <v>1066.6666666666667</v>
      </c>
      <c r="AO183" s="707">
        <f t="shared" ca="1" si="71"/>
        <v>6400</v>
      </c>
      <c r="AP183" s="704">
        <f t="shared" ca="1" si="72"/>
        <v>0.39</v>
      </c>
      <c r="AQ183" s="704">
        <f t="shared" ca="1" si="56"/>
        <v>0.39</v>
      </c>
      <c r="AR183" s="704">
        <f t="shared" ca="1" si="73"/>
        <v>0.43333333333333335</v>
      </c>
      <c r="AS183" s="704">
        <f ca="1">IF(Data!$E$83=1,Data!$L$117+Data!$F$59+AQ183/Data!$L$116/Data!$E$59/Data!$L$115,Data!$E$90+Data!$F$59+AQ183/Data!$G$90/Data!$E$59/Data!$D$90)</f>
        <v>0.43333333333333335</v>
      </c>
      <c r="AT183" s="704">
        <f t="shared" ca="1" si="74"/>
        <v>0.73808888888888935</v>
      </c>
      <c r="AU183" s="699">
        <f ca="1">IF(Data!$C$59=1,TRUNC(($A126*0.9-AP183)/$P$87*2000*PI()*0.8,0),IF(Data!$C$59=2,TRUNC(($A126*0.8-(AP183+0.1))/$P$87*2000*PI()*0.8,0),""))</f>
        <v>137</v>
      </c>
      <c r="AV183" s="706"/>
      <c r="AW183" s="707">
        <f t="shared" ca="1" si="57"/>
        <v>320</v>
      </c>
      <c r="AX183" s="707">
        <f t="shared" ca="1" si="58"/>
        <v>6400</v>
      </c>
      <c r="AY183" s="704">
        <f t="shared" ca="1" si="75"/>
        <v>0.13</v>
      </c>
      <c r="AZ183" s="704">
        <f t="shared" ca="1" si="59"/>
        <v>0.13</v>
      </c>
      <c r="BA183" s="704">
        <f t="shared" ca="1" si="76"/>
        <v>0.14444444444444446</v>
      </c>
      <c r="BB183" s="704">
        <f ca="1">IF(Data!$E$83=1,Data!$L$117+Data!$F$59+AZ183/Data!$L$116/Data!$E$59/Data!$L$115,Data!$E$90+Data!$F$59+AZ183/Data!$G$90/Data!$E$59/Data!$D$90)</f>
        <v>0.14444444444444446</v>
      </c>
      <c r="BC183" s="704">
        <f t="shared" ca="1" si="77"/>
        <v>0.73808888888888935</v>
      </c>
      <c r="BD183" s="699">
        <f ca="1">IF(Data!$C$59=1,TRUNC(($A126*0.9-AY183)/$P$86*2000*PI()*0.8,0),IF(Data!$C$59=2,TRUNC(($A126*0.8-(AY183+0.1))/$P$86*2000*PI()*0.8,0),""))</f>
        <v>895</v>
      </c>
      <c r="BE183" s="699"/>
      <c r="BF183" s="704">
        <f t="shared" ca="1" si="78"/>
        <v>0.73512685714285386</v>
      </c>
      <c r="BG183" s="707">
        <f t="shared" ca="1" si="79"/>
        <v>8000</v>
      </c>
      <c r="BH183" s="707">
        <f t="shared" ca="1" si="80"/>
        <v>1333.3333333333335</v>
      </c>
      <c r="BI183" s="699">
        <f t="shared" ca="1" si="81"/>
        <v>0.65999999999999992</v>
      </c>
      <c r="BJ183" s="699">
        <f ca="1">IF(Data!$C$59=1,TRUNC(($A60*0.9-BI183)/$P$89*2000*PI()*0.8,0),IF(Data!$C$59=2,TRUNC(($A60*0.8-(BI183+0.1))/$P$89*2000*PI()*0.8,0),""))</f>
        <v>0</v>
      </c>
      <c r="BK183" s="699"/>
      <c r="BL183" s="704">
        <f t="shared" ca="1" si="82"/>
        <v>0.73512685714285386</v>
      </c>
      <c r="BM183" s="707">
        <f t="shared" ca="1" si="83"/>
        <v>8000</v>
      </c>
      <c r="BN183" s="707">
        <f t="shared" ca="1" si="84"/>
        <v>533.33333333333337</v>
      </c>
      <c r="BO183" s="699">
        <f t="shared" ca="1" si="85"/>
        <v>0.25666666666666671</v>
      </c>
      <c r="BP183" s="699">
        <f ca="1">IF(Data!$C$59=1,TRUNC(($A60*0.9-BO183)/$P$88*2000*PI()*0.8,0),IF(Data!$C$59=2,TRUNC(($A60*0.8-(BO183+0.1))/$P$88*2000*PI()*0.8,0),""))</f>
        <v>508</v>
      </c>
      <c r="BQ183" s="699"/>
      <c r="BR183" s="704">
        <f t="shared" ca="1" si="86"/>
        <v>0.73512685714285386</v>
      </c>
      <c r="BS183" s="707">
        <f t="shared" ca="1" si="87"/>
        <v>8000</v>
      </c>
      <c r="BT183" s="707">
        <f t="shared" ca="1" si="88"/>
        <v>1333.3333333333335</v>
      </c>
      <c r="BU183" s="699">
        <f t="shared" ca="1" si="89"/>
        <v>0.44999999999999996</v>
      </c>
      <c r="BV183" s="699">
        <f ca="1">IF(Data!$C$59=1,TRUNC(($A60*0.9-BU183)/$P$87*2000*PI()*0.8,0),IF(Data!$C$59=2,TRUNC(($A60*0.8-(BU183+0.1))/$P$87*2000*PI()*0.8,0),""))</f>
        <v>106</v>
      </c>
      <c r="BW183" s="699"/>
      <c r="BX183" s="704">
        <f t="shared" ca="1" si="90"/>
        <v>0.73512685714285386</v>
      </c>
      <c r="BY183" s="707">
        <f t="shared" ca="1" si="91"/>
        <v>8000</v>
      </c>
      <c r="BZ183" s="707">
        <f t="shared" ca="1" si="92"/>
        <v>400</v>
      </c>
      <c r="CA183" s="699">
        <f t="shared" ca="1" si="93"/>
        <v>0.15000000000000002</v>
      </c>
      <c r="CB183" s="699">
        <f ca="1">IF(Data!$C$59=1,TRUNC(($A60*0.9-CA183)/$P$86*2000*PI()*0.8,0),IF(Data!$C$59=2,TRUNC(($A60*0.8-(CA183+0.1))/$P$86*2000*PI()*0.8,0),""))</f>
        <v>857</v>
      </c>
    </row>
    <row r="184" spans="21:80">
      <c r="U184" s="707">
        <f t="shared" ca="1" si="60"/>
        <v>1093.3333333333333</v>
      </c>
      <c r="V184" s="707">
        <f t="shared" ca="1" si="61"/>
        <v>6560</v>
      </c>
      <c r="W184" s="704">
        <f t="shared" ca="1" si="62"/>
        <v>0.57359999999999989</v>
      </c>
      <c r="X184" s="704">
        <f t="shared" ca="1" si="54"/>
        <v>0.57359999999999989</v>
      </c>
      <c r="Y184" s="704">
        <f t="shared" ca="1" si="63"/>
        <v>0.6373333333333332</v>
      </c>
      <c r="Z184" s="704">
        <f ca="1">IF(Data!$E$83=1,Data!$L$117+Data!$F$59+X184/Data!$L$116/Data!$E$59/Data!$L$115,Data!$E$90+Data!$F$59+X184/Data!$G$90/Data!$E$59/Data!$D$90)</f>
        <v>0.6373333333333332</v>
      </c>
      <c r="AA184" s="704">
        <f t="shared" ca="1" si="64"/>
        <v>0.73417777777777826</v>
      </c>
      <c r="AB184" s="699">
        <f ca="1">IF(Data!$C$59=1,TRUNC(($A127*0.9-W184)/$P$89*2000*PI()*0.8,0),IF(Data!$C$59=2,TRUNC(($A127*0.8-(W184+0.1))/$P$89*2000*PI()*0.8,0),""))</f>
        <v>43</v>
      </c>
      <c r="AC184" s="699"/>
      <c r="AD184" s="706"/>
      <c r="AE184" s="707">
        <f t="shared" ca="1" si="65"/>
        <v>437.33333333333331</v>
      </c>
      <c r="AF184" s="707">
        <f t="shared" ca="1" si="66"/>
        <v>6560</v>
      </c>
      <c r="AG184" s="704">
        <f t="shared" ca="1" si="67"/>
        <v>0.22306666666666669</v>
      </c>
      <c r="AH184" s="704">
        <f t="shared" ca="1" si="55"/>
        <v>0.22306666666666669</v>
      </c>
      <c r="AI184" s="704">
        <f t="shared" ca="1" si="68"/>
        <v>0.24785185185185188</v>
      </c>
      <c r="AJ184" s="704">
        <f ca="1">IF(Data!$E$83=1,Data!$L$117+Data!$F$59+AH184/Data!$L$116/Data!$E$59/Data!$L$115,Data!$E$90+Data!$F$59+AH184/Data!$G$90/Data!$E$59/Data!$D$90)</f>
        <v>0.24785185185185188</v>
      </c>
      <c r="AK184" s="704">
        <f t="shared" ca="1" si="69"/>
        <v>0.73417777777777826</v>
      </c>
      <c r="AL184" s="699">
        <f ca="1">IF(Data!$C$59=1,TRUNC(($A127*0.9-AG184)/$P$88*2000*PI()*0.8,0),IF(Data!$C$59=2,TRUNC(($A127*0.8-(AG184+0.1))/$P$88*2000*PI()*0.8,0),""))</f>
        <v>550</v>
      </c>
      <c r="AM184" s="706"/>
      <c r="AN184" s="707">
        <f t="shared" ca="1" si="70"/>
        <v>1093.3333333333333</v>
      </c>
      <c r="AO184" s="707">
        <f t="shared" ca="1" si="71"/>
        <v>6560</v>
      </c>
      <c r="AP184" s="704">
        <f t="shared" ca="1" si="72"/>
        <v>0.39599999999999996</v>
      </c>
      <c r="AQ184" s="704">
        <f t="shared" ca="1" si="56"/>
        <v>0.39599999999999996</v>
      </c>
      <c r="AR184" s="704">
        <f t="shared" ca="1" si="73"/>
        <v>0.43999999999999995</v>
      </c>
      <c r="AS184" s="704">
        <f ca="1">IF(Data!$E$83=1,Data!$L$117+Data!$F$59+AQ184/Data!$L$116/Data!$E$59/Data!$L$115,Data!$E$90+Data!$F$59+AQ184/Data!$G$90/Data!$E$59/Data!$D$90)</f>
        <v>0.43999999999999995</v>
      </c>
      <c r="AT184" s="704">
        <f t="shared" ca="1" si="74"/>
        <v>0.73417777777777826</v>
      </c>
      <c r="AU184" s="699">
        <f ca="1">IF(Data!$C$59=1,TRUNC(($A127*0.9-AP184)/$P$87*2000*PI()*0.8,0),IF(Data!$C$59=2,TRUNC(($A127*0.8-(AP184+0.1))/$P$87*2000*PI()*0.8,0),""))</f>
        <v>133</v>
      </c>
      <c r="AV184" s="706"/>
      <c r="AW184" s="707">
        <f t="shared" ca="1" si="57"/>
        <v>328</v>
      </c>
      <c r="AX184" s="707">
        <f t="shared" ca="1" si="58"/>
        <v>6560</v>
      </c>
      <c r="AY184" s="704">
        <f t="shared" ca="1" si="75"/>
        <v>0.13200000000000001</v>
      </c>
      <c r="AZ184" s="704">
        <f t="shared" ca="1" si="59"/>
        <v>0.13200000000000001</v>
      </c>
      <c r="BA184" s="704">
        <f t="shared" ca="1" si="76"/>
        <v>0.14666666666666667</v>
      </c>
      <c r="BB184" s="704">
        <f ca="1">IF(Data!$E$83=1,Data!$L$117+Data!$F$59+AZ184/Data!$L$116/Data!$E$59/Data!$L$115,Data!$E$90+Data!$F$59+AZ184/Data!$G$90/Data!$E$59/Data!$D$90)</f>
        <v>0.14666666666666667</v>
      </c>
      <c r="BC184" s="704">
        <f t="shared" ca="1" si="77"/>
        <v>0.73417777777777826</v>
      </c>
      <c r="BD184" s="699">
        <f ca="1">IF(Data!$C$59=1,TRUNC(($A127*0.9-AY184)/$P$86*2000*PI()*0.8,0),IF(Data!$C$59=2,TRUNC(($A127*0.8-(AY184+0.1))/$P$86*2000*PI()*0.8,0),""))</f>
        <v>885</v>
      </c>
      <c r="BE184" s="699"/>
      <c r="BF184" s="704">
        <f t="shared" ca="1" si="78"/>
        <v>0.67127912087911767</v>
      </c>
      <c r="BG184" s="707">
        <f t="shared" ca="1" si="79"/>
        <v>8000</v>
      </c>
      <c r="BH184" s="707">
        <f t="shared" ca="1" si="80"/>
        <v>1333.3333333333335</v>
      </c>
      <c r="BI184" s="699">
        <f t="shared" ca="1" si="81"/>
        <v>0.65999999999999992</v>
      </c>
      <c r="BJ184" s="699">
        <f ca="1">IF(Data!$C$59=1,TRUNC(($A61*0.9-BI184)/$P$89*2000*PI()*0.8,0),IF(Data!$C$59=2,TRUNC(($A61*0.8-(BI184+0.1))/$P$89*2000*PI()*0.8,0),""))</f>
        <v>-28</v>
      </c>
      <c r="BK184" s="699"/>
      <c r="BL184" s="704">
        <f t="shared" ca="1" si="82"/>
        <v>0.67127912087911767</v>
      </c>
      <c r="BM184" s="707">
        <f t="shared" ca="1" si="83"/>
        <v>8000</v>
      </c>
      <c r="BN184" s="707">
        <f t="shared" ca="1" si="84"/>
        <v>533.33333333333337</v>
      </c>
      <c r="BO184" s="699">
        <f t="shared" ca="1" si="85"/>
        <v>0.25666666666666671</v>
      </c>
      <c r="BP184" s="699">
        <f ca="1">IF(Data!$C$59=1,TRUNC(($A61*0.9-BO184)/$P$88*2000*PI()*0.8,0),IF(Data!$C$59=2,TRUNC(($A61*0.8-(BO184+0.1))/$P$88*2000*PI()*0.8,0),""))</f>
        <v>436</v>
      </c>
      <c r="BQ184" s="699"/>
      <c r="BR184" s="704">
        <f t="shared" ca="1" si="86"/>
        <v>0.67127912087911767</v>
      </c>
      <c r="BS184" s="707">
        <f t="shared" ca="1" si="87"/>
        <v>8000</v>
      </c>
      <c r="BT184" s="707">
        <f t="shared" ca="1" si="88"/>
        <v>1333.3333333333335</v>
      </c>
      <c r="BU184" s="699">
        <f t="shared" ca="1" si="89"/>
        <v>0.44999999999999996</v>
      </c>
      <c r="BV184" s="699">
        <f ca="1">IF(Data!$C$59=1,TRUNC(($A61*0.9-BU184)/$P$87*2000*PI()*0.8,0),IF(Data!$C$59=2,TRUNC(($A61*0.8-(BU184+0.1))/$P$87*2000*PI()*0.8,0),""))</f>
        <v>77</v>
      </c>
      <c r="BW184" s="699"/>
      <c r="BX184" s="704">
        <f t="shared" ca="1" si="90"/>
        <v>0.67127912087911767</v>
      </c>
      <c r="BY184" s="707">
        <f t="shared" ca="1" si="91"/>
        <v>8000</v>
      </c>
      <c r="BZ184" s="707">
        <f t="shared" ca="1" si="92"/>
        <v>400</v>
      </c>
      <c r="CA184" s="699">
        <f t="shared" ca="1" si="93"/>
        <v>0.15000000000000002</v>
      </c>
      <c r="CB184" s="699">
        <f ca="1">IF(Data!$C$59=1,TRUNC(($A61*0.9-CA184)/$P$86*2000*PI()*0.8,0),IF(Data!$C$59=2,TRUNC(($A61*0.8-(CA184+0.1))/$P$86*2000*PI()*0.8,0),""))</f>
        <v>760</v>
      </c>
    </row>
    <row r="185" spans="21:80">
      <c r="U185" s="707">
        <f t="shared" ca="1" si="60"/>
        <v>1120</v>
      </c>
      <c r="V185" s="707">
        <f t="shared" ca="1" si="61"/>
        <v>6720</v>
      </c>
      <c r="W185" s="704">
        <f t="shared" ca="1" si="62"/>
        <v>0.58319999999999994</v>
      </c>
      <c r="X185" s="704">
        <f t="shared" ca="1" si="54"/>
        <v>0.58319999999999994</v>
      </c>
      <c r="Y185" s="704">
        <f t="shared" ca="1" si="63"/>
        <v>0.64799999999999991</v>
      </c>
      <c r="Z185" s="704">
        <f ca="1">IF(Data!$E$83=1,Data!$L$117+Data!$F$59+X185/Data!$L$116/Data!$E$59/Data!$L$115,Data!$E$90+Data!$F$59+X185/Data!$G$90/Data!$E$59/Data!$D$90)</f>
        <v>0.64799999999999991</v>
      </c>
      <c r="AA185" s="704">
        <f t="shared" ca="1" si="64"/>
        <v>0.73026666666666717</v>
      </c>
      <c r="AB185" s="699">
        <f ca="1">IF(Data!$C$59=1,TRUNC(($A128*0.9-W185)/$P$89*2000*PI()*0.8,0),IF(Data!$C$59=2,TRUNC(($A128*0.8-(W185+0.1))/$P$89*2000*PI()*0.8,0),""))</f>
        <v>37</v>
      </c>
      <c r="AC185" s="699"/>
      <c r="AD185" s="706"/>
      <c r="AE185" s="707">
        <f t="shared" ca="1" si="65"/>
        <v>448</v>
      </c>
      <c r="AF185" s="707">
        <f t="shared" ca="1" si="66"/>
        <v>6720</v>
      </c>
      <c r="AG185" s="704">
        <f t="shared" ca="1" si="67"/>
        <v>0.22680000000000003</v>
      </c>
      <c r="AH185" s="704">
        <f t="shared" ca="1" si="55"/>
        <v>0.22680000000000003</v>
      </c>
      <c r="AI185" s="704">
        <f t="shared" ca="1" si="68"/>
        <v>0.252</v>
      </c>
      <c r="AJ185" s="704">
        <f ca="1">IF(Data!$E$83=1,Data!$L$117+Data!$F$59+AH185/Data!$L$116/Data!$E$59/Data!$L$115,Data!$E$90+Data!$F$59+AH185/Data!$G$90/Data!$E$59/Data!$D$90)</f>
        <v>0.252</v>
      </c>
      <c r="AK185" s="704">
        <f t="shared" ca="1" si="69"/>
        <v>0.73026666666666717</v>
      </c>
      <c r="AL185" s="699">
        <f ca="1">IF(Data!$C$59=1,TRUNC(($A128*0.9-AG185)/$P$88*2000*PI()*0.8,0),IF(Data!$C$59=2,TRUNC(($A128*0.8-(AG185+0.1))/$P$88*2000*PI()*0.8,0),""))</f>
        <v>540</v>
      </c>
      <c r="AM185" s="706"/>
      <c r="AN185" s="707">
        <f t="shared" ca="1" si="70"/>
        <v>1120</v>
      </c>
      <c r="AO185" s="707">
        <f t="shared" ca="1" si="71"/>
        <v>6720</v>
      </c>
      <c r="AP185" s="704">
        <f t="shared" ca="1" si="72"/>
        <v>0.40200000000000002</v>
      </c>
      <c r="AQ185" s="704">
        <f t="shared" ca="1" si="56"/>
        <v>0.40200000000000002</v>
      </c>
      <c r="AR185" s="704">
        <f t="shared" ca="1" si="73"/>
        <v>0.44666666666666666</v>
      </c>
      <c r="AS185" s="704">
        <f ca="1">IF(Data!$E$83=1,Data!$L$117+Data!$F$59+AQ185/Data!$L$116/Data!$E$59/Data!$L$115,Data!$E$90+Data!$F$59+AQ185/Data!$G$90/Data!$E$59/Data!$D$90)</f>
        <v>0.44666666666666666</v>
      </c>
      <c r="AT185" s="704">
        <f t="shared" ca="1" si="74"/>
        <v>0.73026666666666717</v>
      </c>
      <c r="AU185" s="699">
        <f ca="1">IF(Data!$C$59=1,TRUNC(($A128*0.9-AP185)/$P$87*2000*PI()*0.8,0),IF(Data!$C$59=2,TRUNC(($A128*0.8-(AP185+0.1))/$P$87*2000*PI()*0.8,0),""))</f>
        <v>128</v>
      </c>
      <c r="AV185" s="706"/>
      <c r="AW185" s="707">
        <f t="shared" ca="1" si="57"/>
        <v>336</v>
      </c>
      <c r="AX185" s="707">
        <f t="shared" ca="1" si="58"/>
        <v>6720</v>
      </c>
      <c r="AY185" s="704">
        <f t="shared" ca="1" si="75"/>
        <v>0.13400000000000001</v>
      </c>
      <c r="AZ185" s="704">
        <f t="shared" ca="1" si="59"/>
        <v>0.13400000000000001</v>
      </c>
      <c r="BA185" s="704">
        <f t="shared" ca="1" si="76"/>
        <v>0.1488888888888889</v>
      </c>
      <c r="BB185" s="704">
        <f ca="1">IF(Data!$E$83=1,Data!$L$117+Data!$F$59+AZ185/Data!$L$116/Data!$E$59/Data!$L$115,Data!$E$90+Data!$F$59+AZ185/Data!$G$90/Data!$E$59/Data!$D$90)</f>
        <v>0.1488888888888889</v>
      </c>
      <c r="BC185" s="704">
        <f t="shared" ca="1" si="77"/>
        <v>0.73026666666666717</v>
      </c>
      <c r="BD185" s="699">
        <f ca="1">IF(Data!$C$59=1,TRUNC(($A128*0.9-AY185)/$P$86*2000*PI()*0.8,0),IF(Data!$C$59=2,TRUNC(($A128*0.8-(AY185+0.1))/$P$86*2000*PI()*0.8,0),""))</f>
        <v>876</v>
      </c>
      <c r="BE185" s="699"/>
      <c r="BF185" s="704">
        <f t="shared" ca="1" si="78"/>
        <v>0.60683498901098565</v>
      </c>
      <c r="BG185" s="707">
        <f t="shared" ca="1" si="79"/>
        <v>8000</v>
      </c>
      <c r="BH185" s="707">
        <f t="shared" ca="1" si="80"/>
        <v>1333.3333333333335</v>
      </c>
      <c r="BI185" s="699">
        <f t="shared" ca="1" si="81"/>
        <v>0.65999999999999992</v>
      </c>
      <c r="BJ185" s="699">
        <f ca="1">IF(Data!$C$59=1,TRUNC(($A62*0.9-BI185)/$P$89*2000*PI()*0.8,0),IF(Data!$C$59=2,TRUNC(($A62*0.8-(BI185+0.1))/$P$89*2000*PI()*0.8,0),""))</f>
        <v>-57</v>
      </c>
      <c r="BK185" s="699"/>
      <c r="BL185" s="704">
        <f t="shared" ca="1" si="82"/>
        <v>0.60683498901098565</v>
      </c>
      <c r="BM185" s="707">
        <f t="shared" ca="1" si="83"/>
        <v>8000</v>
      </c>
      <c r="BN185" s="707">
        <f t="shared" ca="1" si="84"/>
        <v>533.33333333333337</v>
      </c>
      <c r="BO185" s="699">
        <f t="shared" ca="1" si="85"/>
        <v>0.25666666666666671</v>
      </c>
      <c r="BP185" s="699">
        <f ca="1">IF(Data!$C$59=1,TRUNC(($A62*0.9-BO185)/$P$88*2000*PI()*0.8,0),IF(Data!$C$59=2,TRUNC(($A62*0.8-(BO185+0.1))/$P$88*2000*PI()*0.8,0),""))</f>
        <v>363</v>
      </c>
      <c r="BQ185" s="699"/>
      <c r="BR185" s="704">
        <f t="shared" ca="1" si="86"/>
        <v>0.60683498901098565</v>
      </c>
      <c r="BS185" s="707">
        <f t="shared" ca="1" si="87"/>
        <v>8000</v>
      </c>
      <c r="BT185" s="707">
        <f t="shared" ca="1" si="88"/>
        <v>1333.3333333333335</v>
      </c>
      <c r="BU185" s="699">
        <f t="shared" ca="1" si="89"/>
        <v>0.44999999999999996</v>
      </c>
      <c r="BV185" s="699">
        <f ca="1">IF(Data!$C$59=1,TRUNC(($A62*0.9-BU185)/$P$87*2000*PI()*0.8,0),IF(Data!$C$59=2,TRUNC(($A62*0.8-(BU185+0.1))/$P$87*2000*PI()*0.8,0),""))</f>
        <v>48</v>
      </c>
      <c r="BW185" s="699"/>
      <c r="BX185" s="704">
        <f t="shared" ca="1" si="90"/>
        <v>0.60683498901098565</v>
      </c>
      <c r="BY185" s="707">
        <f t="shared" ca="1" si="91"/>
        <v>8000</v>
      </c>
      <c r="BZ185" s="707">
        <f t="shared" ca="1" si="92"/>
        <v>400</v>
      </c>
      <c r="CA185" s="699">
        <f t="shared" ca="1" si="93"/>
        <v>0.15000000000000002</v>
      </c>
      <c r="CB185" s="699">
        <f ca="1">IF(Data!$C$59=1,TRUNC(($A62*0.9-CA185)/$P$86*2000*PI()*0.8,0),IF(Data!$C$59=2,TRUNC(($A62*0.8-(CA185+0.1))/$P$86*2000*PI()*0.8,0),""))</f>
        <v>663</v>
      </c>
    </row>
    <row r="186" spans="21:80">
      <c r="U186" s="707">
        <f t="shared" ca="1" si="60"/>
        <v>1146.6666666666667</v>
      </c>
      <c r="V186" s="707">
        <f t="shared" ca="1" si="61"/>
        <v>6880</v>
      </c>
      <c r="W186" s="704">
        <f t="shared" ca="1" si="62"/>
        <v>0.59279999999999999</v>
      </c>
      <c r="X186" s="704">
        <f t="shared" ca="1" si="54"/>
        <v>0.59279999999999999</v>
      </c>
      <c r="Y186" s="704">
        <f t="shared" ca="1" si="63"/>
        <v>0.65866666666666662</v>
      </c>
      <c r="Z186" s="704">
        <f ca="1">IF(Data!$E$83=1,Data!$L$117+Data!$F$59+X186/Data!$L$116/Data!$E$59/Data!$L$115,Data!$E$90+Data!$F$59+X186/Data!$G$90/Data!$E$59/Data!$D$90)</f>
        <v>0.65866666666666662</v>
      </c>
      <c r="AA186" s="704">
        <f t="shared" ca="1" si="64"/>
        <v>0.72635555555555609</v>
      </c>
      <c r="AB186" s="699">
        <f ca="1">IF(Data!$C$59=1,TRUNC(($A129*0.9-W186)/$P$89*2000*PI()*0.8,0),IF(Data!$C$59=2,TRUNC(($A129*0.8-(W186+0.1))/$P$89*2000*PI()*0.8,0),""))</f>
        <v>30</v>
      </c>
      <c r="AC186" s="699"/>
      <c r="AD186" s="706"/>
      <c r="AE186" s="707">
        <f t="shared" ca="1" si="65"/>
        <v>458.66666666666669</v>
      </c>
      <c r="AF186" s="707">
        <f t="shared" ca="1" si="66"/>
        <v>6880</v>
      </c>
      <c r="AG186" s="704">
        <f t="shared" ca="1" si="67"/>
        <v>0.23053333333333337</v>
      </c>
      <c r="AH186" s="704">
        <f t="shared" ca="1" si="55"/>
        <v>0.23053333333333337</v>
      </c>
      <c r="AI186" s="704">
        <f t="shared" ca="1" si="68"/>
        <v>0.25614814814814818</v>
      </c>
      <c r="AJ186" s="704">
        <f ca="1">IF(Data!$E$83=1,Data!$L$117+Data!$F$59+AH186/Data!$L$116/Data!$E$59/Data!$L$115,Data!$E$90+Data!$F$59+AH186/Data!$G$90/Data!$E$59/Data!$D$90)</f>
        <v>0.25614814814814818</v>
      </c>
      <c r="AK186" s="704">
        <f t="shared" ca="1" si="69"/>
        <v>0.72635555555555609</v>
      </c>
      <c r="AL186" s="699">
        <f ca="1">IF(Data!$C$59=1,TRUNC(($A129*0.9-AG186)/$P$88*2000*PI()*0.8,0),IF(Data!$C$59=2,TRUNC(($A129*0.8-(AG186+0.1))/$P$88*2000*PI()*0.8,0),""))</f>
        <v>531</v>
      </c>
      <c r="AM186" s="706"/>
      <c r="AN186" s="707">
        <f t="shared" ca="1" si="70"/>
        <v>1146.6666666666667</v>
      </c>
      <c r="AO186" s="707">
        <f t="shared" ca="1" si="71"/>
        <v>6880</v>
      </c>
      <c r="AP186" s="704">
        <f t="shared" ca="1" si="72"/>
        <v>0.40800000000000003</v>
      </c>
      <c r="AQ186" s="704">
        <f t="shared" ca="1" si="56"/>
        <v>0.40800000000000003</v>
      </c>
      <c r="AR186" s="704">
        <f t="shared" ca="1" si="73"/>
        <v>0.45333333333333337</v>
      </c>
      <c r="AS186" s="704">
        <f ca="1">IF(Data!$E$83=1,Data!$L$117+Data!$F$59+AQ186/Data!$L$116/Data!$E$59/Data!$L$115,Data!$E$90+Data!$F$59+AQ186/Data!$G$90/Data!$E$59/Data!$D$90)</f>
        <v>0.45333333333333337</v>
      </c>
      <c r="AT186" s="704">
        <f t="shared" ca="1" si="74"/>
        <v>0.72635555555555609</v>
      </c>
      <c r="AU186" s="699">
        <f ca="1">IF(Data!$C$59=1,TRUNC(($A129*0.9-AP186)/$P$87*2000*PI()*0.8,0),IF(Data!$C$59=2,TRUNC(($A129*0.8-(AP186+0.1))/$P$87*2000*PI()*0.8,0),""))</f>
        <v>123</v>
      </c>
      <c r="AV186" s="706"/>
      <c r="AW186" s="707">
        <f t="shared" ca="1" si="57"/>
        <v>344</v>
      </c>
      <c r="AX186" s="707">
        <f t="shared" ca="1" si="58"/>
        <v>6880</v>
      </c>
      <c r="AY186" s="704">
        <f t="shared" ca="1" si="75"/>
        <v>0.13600000000000001</v>
      </c>
      <c r="AZ186" s="704">
        <f t="shared" ca="1" si="59"/>
        <v>0.13600000000000001</v>
      </c>
      <c r="BA186" s="704">
        <f t="shared" ca="1" si="76"/>
        <v>0.15111111111111111</v>
      </c>
      <c r="BB186" s="704">
        <f ca="1">IF(Data!$E$83=1,Data!$L$117+Data!$F$59+AZ186/Data!$L$116/Data!$E$59/Data!$L$115,Data!$E$90+Data!$F$59+AZ186/Data!$G$90/Data!$E$59/Data!$D$90)</f>
        <v>0.15111111111111111</v>
      </c>
      <c r="BC186" s="704">
        <f t="shared" ca="1" si="77"/>
        <v>0.72635555555555609</v>
      </c>
      <c r="BD186" s="699">
        <f ca="1">IF(Data!$C$59=1,TRUNC(($A129*0.9-AY186)/$P$86*2000*PI()*0.8,0),IF(Data!$C$59=2,TRUNC(($A129*0.8-(AY186+0.1))/$P$86*2000*PI()*0.8,0),""))</f>
        <v>867</v>
      </c>
      <c r="BE186" s="699"/>
      <c r="BF186" s="704">
        <f t="shared" ca="1" si="78"/>
        <v>0.54179446153845823</v>
      </c>
      <c r="BG186" s="707">
        <f t="shared" ca="1" si="79"/>
        <v>8000</v>
      </c>
      <c r="BH186" s="707">
        <f t="shared" ca="1" si="80"/>
        <v>1333.3333333333335</v>
      </c>
      <c r="BI186" s="699">
        <f t="shared" ca="1" si="81"/>
        <v>0.65999999999999992</v>
      </c>
      <c r="BJ186" s="699">
        <f ca="1">IF(Data!$C$59=1,TRUNC(($A63*0.9-BI186)/$P$89*2000*PI()*0.8,0),IF(Data!$C$59=2,TRUNC(($A63*0.8-(BI186+0.1))/$P$89*2000*PI()*0.8,0),""))</f>
        <v>-86</v>
      </c>
      <c r="BK186" s="699"/>
      <c r="BL186" s="704">
        <f t="shared" ca="1" si="82"/>
        <v>0.54179446153845823</v>
      </c>
      <c r="BM186" s="707">
        <f t="shared" ca="1" si="83"/>
        <v>8000</v>
      </c>
      <c r="BN186" s="707">
        <f t="shared" ca="1" si="84"/>
        <v>533.33333333333337</v>
      </c>
      <c r="BO186" s="699">
        <f t="shared" ca="1" si="85"/>
        <v>0.25666666666666671</v>
      </c>
      <c r="BP186" s="699">
        <f ca="1">IF(Data!$C$59=1,TRUNC(($A63*0.9-BO186)/$P$88*2000*PI()*0.8,0),IF(Data!$C$59=2,TRUNC(($A63*0.8-(BO186+0.1))/$P$88*2000*PI()*0.8,0),""))</f>
        <v>290</v>
      </c>
      <c r="BQ186" s="699"/>
      <c r="BR186" s="704">
        <f t="shared" ca="1" si="86"/>
        <v>0.54179446153845823</v>
      </c>
      <c r="BS186" s="707">
        <f t="shared" ca="1" si="87"/>
        <v>8000</v>
      </c>
      <c r="BT186" s="707">
        <f t="shared" ca="1" si="88"/>
        <v>1333.3333333333335</v>
      </c>
      <c r="BU186" s="699">
        <f t="shared" ca="1" si="89"/>
        <v>0.44999999999999996</v>
      </c>
      <c r="BV186" s="699">
        <f ca="1">IF(Data!$C$59=1,TRUNC(($A63*0.9-BU186)/$P$87*2000*PI()*0.8,0),IF(Data!$C$59=2,TRUNC(($A63*0.8-(BU186+0.1))/$P$87*2000*PI()*0.8,0),""))</f>
        <v>18</v>
      </c>
      <c r="BW186" s="699"/>
      <c r="BX186" s="704">
        <f t="shared" ca="1" si="90"/>
        <v>0.54179446153845823</v>
      </c>
      <c r="BY186" s="707">
        <f t="shared" ca="1" si="91"/>
        <v>8000</v>
      </c>
      <c r="BZ186" s="707">
        <f t="shared" ca="1" si="92"/>
        <v>400</v>
      </c>
      <c r="CA186" s="699">
        <f t="shared" ca="1" si="93"/>
        <v>0.15000000000000002</v>
      </c>
      <c r="CB186" s="699">
        <f ca="1">IF(Data!$C$59=1,TRUNC(($A63*0.9-CA186)/$P$86*2000*PI()*0.8,0),IF(Data!$C$59=2,TRUNC(($A63*0.8-(CA186+0.1))/$P$86*2000*PI()*0.8,0),""))</f>
        <v>565</v>
      </c>
    </row>
    <row r="187" spans="21:80">
      <c r="U187" s="707">
        <f t="shared" ca="1" si="60"/>
        <v>1173.3333333333333</v>
      </c>
      <c r="V187" s="707">
        <f t="shared" ca="1" si="61"/>
        <v>7040</v>
      </c>
      <c r="W187" s="704">
        <f t="shared" ca="1" si="62"/>
        <v>0.60240000000000005</v>
      </c>
      <c r="X187" s="704">
        <f t="shared" ca="1" si="54"/>
        <v>0.60240000000000005</v>
      </c>
      <c r="Y187" s="704">
        <f t="shared" ca="1" si="63"/>
        <v>0.66933333333333334</v>
      </c>
      <c r="Z187" s="704">
        <f ca="1">IF(Data!$E$83=1,Data!$L$117+Data!$F$59+X187/Data!$L$116/Data!$E$59/Data!$L$115,Data!$E$90+Data!$F$59+X187/Data!$G$90/Data!$E$59/Data!$D$90)</f>
        <v>0.66933333333333334</v>
      </c>
      <c r="AA187" s="704">
        <f t="shared" ca="1" si="64"/>
        <v>0.722444444444445</v>
      </c>
      <c r="AB187" s="699">
        <f ca="1">IF(Data!$C$59=1,TRUNC(($A130*0.9-W187)/$P$89*2000*PI()*0.8,0),IF(Data!$C$59=2,TRUNC(($A130*0.8-(W187+0.1))/$P$89*2000*PI()*0.8,0),""))</f>
        <v>24</v>
      </c>
      <c r="AC187" s="699"/>
      <c r="AD187" s="706"/>
      <c r="AE187" s="707">
        <f t="shared" ca="1" si="65"/>
        <v>469.33333333333331</v>
      </c>
      <c r="AF187" s="707">
        <f t="shared" ca="1" si="66"/>
        <v>7040</v>
      </c>
      <c r="AG187" s="704">
        <f t="shared" ca="1" si="67"/>
        <v>0.23426666666666668</v>
      </c>
      <c r="AH187" s="704">
        <f t="shared" ca="1" si="55"/>
        <v>0.23426666666666668</v>
      </c>
      <c r="AI187" s="704">
        <f t="shared" ca="1" si="68"/>
        <v>0.2602962962962963</v>
      </c>
      <c r="AJ187" s="704">
        <f ca="1">IF(Data!$E$83=1,Data!$L$117+Data!$F$59+AH187/Data!$L$116/Data!$E$59/Data!$L$115,Data!$E$90+Data!$F$59+AH187/Data!$G$90/Data!$E$59/Data!$D$90)</f>
        <v>0.2602962962962963</v>
      </c>
      <c r="AK187" s="704">
        <f t="shared" ca="1" si="69"/>
        <v>0.722444444444445</v>
      </c>
      <c r="AL187" s="699">
        <f ca="1">IF(Data!$C$59=1,TRUNC(($A130*0.9-AG187)/$P$88*2000*PI()*0.8,0),IF(Data!$C$59=2,TRUNC(($A130*0.8-(AG187+0.1))/$P$88*2000*PI()*0.8,0),""))</f>
        <v>522</v>
      </c>
      <c r="AM187" s="706"/>
      <c r="AN187" s="707">
        <f t="shared" ca="1" si="70"/>
        <v>1173.3333333333333</v>
      </c>
      <c r="AO187" s="707">
        <f t="shared" ca="1" si="71"/>
        <v>7040</v>
      </c>
      <c r="AP187" s="704">
        <f t="shared" ca="1" si="72"/>
        <v>0.41400000000000003</v>
      </c>
      <c r="AQ187" s="704">
        <f t="shared" ca="1" si="56"/>
        <v>0.41400000000000003</v>
      </c>
      <c r="AR187" s="704">
        <f t="shared" ca="1" si="73"/>
        <v>0.46</v>
      </c>
      <c r="AS187" s="704">
        <f ca="1">IF(Data!$E$83=1,Data!$L$117+Data!$F$59+AQ187/Data!$L$116/Data!$E$59/Data!$L$115,Data!$E$90+Data!$F$59+AQ187/Data!$G$90/Data!$E$59/Data!$D$90)</f>
        <v>0.46</v>
      </c>
      <c r="AT187" s="704">
        <f t="shared" ca="1" si="74"/>
        <v>0.722444444444445</v>
      </c>
      <c r="AU187" s="699">
        <f ca="1">IF(Data!$C$59=1,TRUNC(($A130*0.9-AP187)/$P$87*2000*PI()*0.8,0),IF(Data!$C$59=2,TRUNC(($A130*0.8-(AP187+0.1))/$P$87*2000*PI()*0.8,0),""))</f>
        <v>118</v>
      </c>
      <c r="AV187" s="706"/>
      <c r="AW187" s="707">
        <f t="shared" ca="1" si="57"/>
        <v>352</v>
      </c>
      <c r="AX187" s="707">
        <f t="shared" ca="1" si="58"/>
        <v>7040</v>
      </c>
      <c r="AY187" s="704">
        <f t="shared" ca="1" si="75"/>
        <v>0.13800000000000001</v>
      </c>
      <c r="AZ187" s="704">
        <f t="shared" ca="1" si="59"/>
        <v>0.13800000000000001</v>
      </c>
      <c r="BA187" s="704">
        <f t="shared" ca="1" si="76"/>
        <v>0.15333333333333335</v>
      </c>
      <c r="BB187" s="704">
        <f ca="1">IF(Data!$E$83=1,Data!$L$117+Data!$F$59+AZ187/Data!$L$116/Data!$E$59/Data!$L$115,Data!$E$90+Data!$F$59+AZ187/Data!$G$90/Data!$E$59/Data!$D$90)</f>
        <v>0.15333333333333335</v>
      </c>
      <c r="BC187" s="704">
        <f t="shared" ca="1" si="77"/>
        <v>0.722444444444445</v>
      </c>
      <c r="BD187" s="699">
        <f ca="1">IF(Data!$C$59=1,TRUNC(($A130*0.9-AY187)/$P$86*2000*PI()*0.8,0),IF(Data!$C$59=2,TRUNC(($A130*0.8-(AY187+0.1))/$P$86*2000*PI()*0.8,0),""))</f>
        <v>858</v>
      </c>
      <c r="BE187" s="699"/>
      <c r="BF187" s="704">
        <f t="shared" ca="1" si="78"/>
        <v>0.47615753846153508</v>
      </c>
      <c r="BG187" s="707">
        <f t="shared" ca="1" si="79"/>
        <v>8000</v>
      </c>
      <c r="BH187" s="707">
        <f t="shared" ca="1" si="80"/>
        <v>1333.3333333333335</v>
      </c>
      <c r="BI187" s="699">
        <f t="shared" ca="1" si="81"/>
        <v>0.65999999999999992</v>
      </c>
      <c r="BJ187" s="699">
        <f ca="1">IF(Data!$C$59=1,TRUNC(($A64*0.9-BI187)/$P$89*2000*PI()*0.8,0),IF(Data!$C$59=2,TRUNC(($A64*0.8-(BI187+0.1))/$P$89*2000*PI()*0.8,0),""))</f>
        <v>-116</v>
      </c>
      <c r="BK187" s="699"/>
      <c r="BL187" s="704">
        <f t="shared" ca="1" si="82"/>
        <v>0.47615753846153508</v>
      </c>
      <c r="BM187" s="707">
        <f t="shared" ca="1" si="83"/>
        <v>8000</v>
      </c>
      <c r="BN187" s="707">
        <f t="shared" ca="1" si="84"/>
        <v>533.33333333333337</v>
      </c>
      <c r="BO187" s="699">
        <f t="shared" ca="1" si="85"/>
        <v>0.25666666666666671</v>
      </c>
      <c r="BP187" s="699">
        <f ca="1">IF(Data!$C$59=1,TRUNC(($A64*0.9-BO187)/$P$88*2000*PI()*0.8,0),IF(Data!$C$59=2,TRUNC(($A64*0.8-(BO187+0.1))/$P$88*2000*PI()*0.8,0),""))</f>
        <v>215</v>
      </c>
      <c r="BQ187" s="699"/>
      <c r="BR187" s="704">
        <f t="shared" ca="1" si="86"/>
        <v>0.47615753846153508</v>
      </c>
      <c r="BS187" s="707">
        <f t="shared" ca="1" si="87"/>
        <v>8000</v>
      </c>
      <c r="BT187" s="707">
        <f t="shared" ca="1" si="88"/>
        <v>1333.3333333333335</v>
      </c>
      <c r="BU187" s="699">
        <f t="shared" ca="1" si="89"/>
        <v>0.44999999999999996</v>
      </c>
      <c r="BV187" s="699">
        <f ca="1">IF(Data!$C$59=1,TRUNC(($A64*0.9-BU187)/$P$87*2000*PI()*0.8,0),IF(Data!$C$59=2,TRUNC(($A64*0.8-(BU187+0.1))/$P$87*2000*PI()*0.8,0),""))</f>
        <v>-10</v>
      </c>
      <c r="BW187" s="699"/>
      <c r="BX187" s="704">
        <f t="shared" ca="1" si="90"/>
        <v>0.47615753846153508</v>
      </c>
      <c r="BY187" s="707">
        <f t="shared" ca="1" si="91"/>
        <v>8000</v>
      </c>
      <c r="BZ187" s="707">
        <f t="shared" ca="1" si="92"/>
        <v>400</v>
      </c>
      <c r="CA187" s="699">
        <f t="shared" ca="1" si="93"/>
        <v>0.15000000000000002</v>
      </c>
      <c r="CB187" s="699">
        <f ca="1">IF(Data!$C$59=1,TRUNC(($A64*0.9-CA187)/$P$86*2000*PI()*0.8,0),IF(Data!$C$59=2,TRUNC(($A64*0.8-(CA187+0.1))/$P$86*2000*PI()*0.8,0),""))</f>
        <v>466</v>
      </c>
    </row>
    <row r="188" spans="21:80">
      <c r="U188" s="707">
        <f ca="1">B131/60*$P$89</f>
        <v>1200</v>
      </c>
      <c r="V188" s="707">
        <f t="shared" ca="1" si="61"/>
        <v>7200</v>
      </c>
      <c r="W188" s="704">
        <f t="shared" ca="1" si="62"/>
        <v>0.61199999999999999</v>
      </c>
      <c r="X188" s="704">
        <f t="shared" ca="1" si="54"/>
        <v>0.61199999999999999</v>
      </c>
      <c r="Y188" s="704">
        <f t="shared" ca="1" si="63"/>
        <v>0.67999999999999994</v>
      </c>
      <c r="Z188" s="704">
        <f ca="1">IF(Data!$E$83=1,Data!$L$117+Data!$F$59+X188/Data!$L$116/Data!$E$59/Data!$L$115,Data!$E$90+Data!$F$59+X188/Data!$G$90/Data!$E$59/Data!$D$90)</f>
        <v>0.67999999999999994</v>
      </c>
      <c r="AA188" s="704">
        <f t="shared" ca="1" si="64"/>
        <v>0.71853333333333391</v>
      </c>
      <c r="AB188" s="699">
        <f ca="1">IF(Data!$C$59=1,TRUNC(($A131*0.9-W188)/$P$89*2000*PI()*0.8,0),IF(Data!$C$59=2,TRUNC(($A131*0.8-(W188+0.1))/$P$89*2000*PI()*0.8,0),""))</f>
        <v>17</v>
      </c>
      <c r="AC188" s="699"/>
      <c r="AD188" s="706"/>
      <c r="AE188" s="707">
        <f t="shared" ca="1" si="65"/>
        <v>480</v>
      </c>
      <c r="AF188" s="707">
        <f t="shared" ca="1" si="66"/>
        <v>7200</v>
      </c>
      <c r="AG188" s="704">
        <f t="shared" ca="1" si="67"/>
        <v>0.23800000000000002</v>
      </c>
      <c r="AH188" s="704">
        <f t="shared" ca="1" si="55"/>
        <v>0.23800000000000002</v>
      </c>
      <c r="AI188" s="704">
        <f t="shared" ca="1" si="68"/>
        <v>0.26444444444444448</v>
      </c>
      <c r="AJ188" s="704">
        <f ca="1">IF(Data!$E$83=1,Data!$L$117+Data!$F$59+AH188/Data!$L$116/Data!$E$59/Data!$L$115,Data!$E$90+Data!$F$59+AH188/Data!$G$90/Data!$E$59/Data!$D$90)</f>
        <v>0.26444444444444448</v>
      </c>
      <c r="AK188" s="704">
        <f t="shared" ca="1" si="69"/>
        <v>0.71853333333333391</v>
      </c>
      <c r="AL188" s="699">
        <f ca="1">IF(Data!$C$59=1,TRUNC(($A131*0.9-AG188)/$P$88*2000*PI()*0.8,0),IF(Data!$C$59=2,TRUNC(($A131*0.8-(AG188+0.1))/$P$88*2000*PI()*0.8,0),""))</f>
        <v>513</v>
      </c>
      <c r="AM188" s="706"/>
      <c r="AN188" s="707">
        <f t="shared" ca="1" si="70"/>
        <v>1200</v>
      </c>
      <c r="AO188" s="707">
        <f t="shared" ca="1" si="71"/>
        <v>7200</v>
      </c>
      <c r="AP188" s="704">
        <f t="shared" ca="1" si="72"/>
        <v>0.42000000000000004</v>
      </c>
      <c r="AQ188" s="704">
        <f t="shared" ca="1" si="56"/>
        <v>0.42000000000000004</v>
      </c>
      <c r="AR188" s="704">
        <f t="shared" ca="1" si="73"/>
        <v>0.46666666666666667</v>
      </c>
      <c r="AS188" s="704">
        <f ca="1">IF(Data!$E$83=1,Data!$L$117+Data!$F$59+AQ188/Data!$L$116/Data!$E$59/Data!$L$115,Data!$E$90+Data!$F$59+AQ188/Data!$G$90/Data!$E$59/Data!$D$90)</f>
        <v>0.46666666666666667</v>
      </c>
      <c r="AT188" s="704">
        <f t="shared" ca="1" si="74"/>
        <v>0.71853333333333391</v>
      </c>
      <c r="AU188" s="699">
        <f ca="1">IF(Data!$C$59=1,TRUNC(($A131*0.9-AP188)/$P$87*2000*PI()*0.8,0),IF(Data!$C$59=2,TRUNC(($A131*0.8-(AP188+0.1))/$P$87*2000*PI()*0.8,0),""))</f>
        <v>113</v>
      </c>
      <c r="AV188" s="706"/>
      <c r="AW188" s="707">
        <f t="shared" ca="1" si="57"/>
        <v>360</v>
      </c>
      <c r="AX188" s="707">
        <f t="shared" ca="1" si="58"/>
        <v>7200</v>
      </c>
      <c r="AY188" s="704">
        <f t="shared" ca="1" si="75"/>
        <v>0.14000000000000001</v>
      </c>
      <c r="AZ188" s="704">
        <f t="shared" ca="1" si="59"/>
        <v>0.14000000000000001</v>
      </c>
      <c r="BA188" s="704">
        <f t="shared" ca="1" si="76"/>
        <v>0.15555555555555556</v>
      </c>
      <c r="BB188" s="704">
        <f ca="1">IF(Data!$E$83=1,Data!$L$117+Data!$F$59+AZ188/Data!$L$116/Data!$E$59/Data!$L$115,Data!$E$90+Data!$F$59+AZ188/Data!$G$90/Data!$E$59/Data!$D$90)</f>
        <v>0.15555555555555556</v>
      </c>
      <c r="BC188" s="704">
        <f t="shared" ca="1" si="77"/>
        <v>0.71853333333333391</v>
      </c>
      <c r="BD188" s="699">
        <f ca="1">IF(Data!$C$59=1,TRUNC(($A131*0.9-AY188)/$P$86*2000*PI()*0.8,0),IF(Data!$C$59=2,TRUNC(($A131*0.8-(AY188+0.1))/$P$86*2000*PI()*0.8,0),""))</f>
        <v>848</v>
      </c>
      <c r="BE188" s="699"/>
      <c r="BF188" s="704">
        <f t="shared" ca="1" si="78"/>
        <v>0.40992421978021643</v>
      </c>
      <c r="BG188" s="707">
        <f t="shared" ca="1" si="79"/>
        <v>8000</v>
      </c>
      <c r="BH188" s="707">
        <f t="shared" ca="1" si="80"/>
        <v>1333.3333333333335</v>
      </c>
      <c r="BI188" s="699">
        <f t="shared" ca="1" si="81"/>
        <v>0.65999999999999992</v>
      </c>
      <c r="BJ188" s="699">
        <f ca="1">IF(Data!$C$59=1,TRUNC(($A65*0.9-BI188)/$P$89*2000*PI()*0.8,0),IF(Data!$C$59=2,TRUNC(($A65*0.8-(BI188+0.1))/$P$89*2000*PI()*0.8,0),""))</f>
        <v>-146</v>
      </c>
      <c r="BK188" s="699"/>
      <c r="BL188" s="704">
        <f t="shared" ca="1" si="82"/>
        <v>0.40992421978021643</v>
      </c>
      <c r="BM188" s="707">
        <f t="shared" ca="1" si="83"/>
        <v>8000</v>
      </c>
      <c r="BN188" s="707">
        <f t="shared" ca="1" si="84"/>
        <v>533.33333333333337</v>
      </c>
      <c r="BO188" s="699">
        <f t="shared" ca="1" si="85"/>
        <v>0.25666666666666671</v>
      </c>
      <c r="BP188" s="699">
        <f ca="1">IF(Data!$C$59=1,TRUNC(($A65*0.9-BO188)/$P$88*2000*PI()*0.8,0),IF(Data!$C$59=2,TRUNC(($A65*0.8-(BO188+0.1))/$P$88*2000*PI()*0.8,0),""))</f>
        <v>141</v>
      </c>
      <c r="BQ188" s="699"/>
      <c r="BR188" s="704">
        <f t="shared" ca="1" si="86"/>
        <v>0.40992421978021643</v>
      </c>
      <c r="BS188" s="707">
        <f t="shared" ca="1" si="87"/>
        <v>8000</v>
      </c>
      <c r="BT188" s="707">
        <f t="shared" ca="1" si="88"/>
        <v>1333.3333333333335</v>
      </c>
      <c r="BU188" s="699">
        <f t="shared" ca="1" si="89"/>
        <v>0.44999999999999996</v>
      </c>
      <c r="BV188" s="699">
        <f ca="1">IF(Data!$C$59=1,TRUNC(($A65*0.9-BU188)/$P$87*2000*PI()*0.8,0),IF(Data!$C$59=2,TRUNC(($A65*0.8-(BU188+0.1))/$P$87*2000*PI()*0.8,0),""))</f>
        <v>-40</v>
      </c>
      <c r="BW188" s="699"/>
      <c r="BX188" s="704">
        <f t="shared" ca="1" si="90"/>
        <v>0.40992421978021643</v>
      </c>
      <c r="BY188" s="707">
        <f t="shared" ca="1" si="91"/>
        <v>8000</v>
      </c>
      <c r="BZ188" s="707">
        <f t="shared" ca="1" si="92"/>
        <v>400</v>
      </c>
      <c r="CA188" s="699">
        <f t="shared" ca="1" si="93"/>
        <v>0.15000000000000002</v>
      </c>
      <c r="CB188" s="699">
        <f ca="1">IF(Data!$C$59=1,TRUNC(($A65*0.9-CA188)/$P$86*2000*PI()*0.8,0),IF(Data!$C$59=2,TRUNC(($A65*0.8-(CA188+0.1))/$P$86*2000*PI()*0.8,0),""))</f>
        <v>366</v>
      </c>
    </row>
    <row r="189" spans="21:80">
      <c r="U189" s="707">
        <f t="shared" ca="1" si="60"/>
        <v>1226.6666666666667</v>
      </c>
      <c r="V189" s="707">
        <f t="shared" ca="1" si="61"/>
        <v>7360</v>
      </c>
      <c r="W189" s="704">
        <f t="shared" ca="1" si="62"/>
        <v>0.62159999999999993</v>
      </c>
      <c r="X189" s="704">
        <f t="shared" ca="1" si="54"/>
        <v>0.62159999999999993</v>
      </c>
      <c r="Y189" s="704">
        <f t="shared" ca="1" si="63"/>
        <v>0.69066666666666654</v>
      </c>
      <c r="Z189" s="704">
        <f ca="1">IF(Data!$E$83=1,Data!$L$117+Data!$F$59+X189/Data!$L$116/Data!$E$59/Data!$L$115,Data!$E$90+Data!$F$59+X189/Data!$G$90/Data!$E$59/Data!$D$90)</f>
        <v>0.69066666666666654</v>
      </c>
      <c r="AA189" s="704">
        <f t="shared" ca="1" si="64"/>
        <v>0.71462222222222282</v>
      </c>
      <c r="AB189" s="699">
        <f ca="1">IF(Data!$C$59=1,TRUNC(($A132*0.9-W189)/$P$89*2000*PI()*0.8,0),IF(Data!$C$59=2,TRUNC(($A132*0.8-(W189+0.1))/$P$89*2000*PI()*0.8,0),""))</f>
        <v>10</v>
      </c>
      <c r="AC189" s="699"/>
      <c r="AD189" s="706"/>
      <c r="AE189" s="707">
        <f t="shared" ca="1" si="65"/>
        <v>490.66666666666669</v>
      </c>
      <c r="AF189" s="707">
        <f t="shared" ca="1" si="66"/>
        <v>7360</v>
      </c>
      <c r="AG189" s="704">
        <f t="shared" ca="1" si="67"/>
        <v>0.24173333333333336</v>
      </c>
      <c r="AH189" s="704">
        <f t="shared" ca="1" si="55"/>
        <v>0.24173333333333336</v>
      </c>
      <c r="AI189" s="704">
        <f t="shared" ca="1" si="68"/>
        <v>0.2685925925925926</v>
      </c>
      <c r="AJ189" s="704">
        <f ca="1">IF(Data!$E$83=1,Data!$L$117+Data!$F$59+AH189/Data!$L$116/Data!$E$59/Data!$L$115,Data!$E$90+Data!$F$59+AH189/Data!$G$90/Data!$E$59/Data!$D$90)</f>
        <v>0.2685925925925926</v>
      </c>
      <c r="AK189" s="704">
        <f t="shared" ca="1" si="69"/>
        <v>0.71462222222222282</v>
      </c>
      <c r="AL189" s="699">
        <f ca="1">IF(Data!$C$59=1,TRUNC(($A132*0.9-AG189)/$P$88*2000*PI()*0.8,0),IF(Data!$C$59=2,TRUNC(($A132*0.8-(AG189+0.1))/$P$88*2000*PI()*0.8,0),""))</f>
        <v>504</v>
      </c>
      <c r="AM189" s="706"/>
      <c r="AN189" s="707">
        <f t="shared" ca="1" si="70"/>
        <v>1226.6666666666667</v>
      </c>
      <c r="AO189" s="707">
        <f t="shared" ca="1" si="71"/>
        <v>7360</v>
      </c>
      <c r="AP189" s="704">
        <f t="shared" ca="1" si="72"/>
        <v>0.42600000000000005</v>
      </c>
      <c r="AQ189" s="704">
        <f t="shared" ca="1" si="56"/>
        <v>0.42600000000000005</v>
      </c>
      <c r="AR189" s="704">
        <f t="shared" ca="1" si="73"/>
        <v>0.47333333333333338</v>
      </c>
      <c r="AS189" s="704">
        <f ca="1">IF(Data!$E$83=1,Data!$L$117+Data!$F$59+AQ189/Data!$L$116/Data!$E$59/Data!$L$115,Data!$E$90+Data!$F$59+AQ189/Data!$G$90/Data!$E$59/Data!$D$90)</f>
        <v>0.47333333333333338</v>
      </c>
      <c r="AT189" s="704">
        <f t="shared" ca="1" si="74"/>
        <v>0.71462222222222282</v>
      </c>
      <c r="AU189" s="699">
        <f ca="1">IF(Data!$C$59=1,TRUNC(($A132*0.9-AP189)/$P$87*2000*PI()*0.8,0),IF(Data!$C$59=2,TRUNC(($A132*0.8-(AP189+0.1))/$P$87*2000*PI()*0.8,0),""))</f>
        <v>109</v>
      </c>
      <c r="AV189" s="706"/>
      <c r="AW189" s="707">
        <f t="shared" ca="1" si="57"/>
        <v>368</v>
      </c>
      <c r="AX189" s="707">
        <f t="shared" ca="1" si="58"/>
        <v>7360</v>
      </c>
      <c r="AY189" s="704">
        <f t="shared" ca="1" si="75"/>
        <v>0.14200000000000002</v>
      </c>
      <c r="AZ189" s="704">
        <f t="shared" ca="1" si="59"/>
        <v>0.14200000000000002</v>
      </c>
      <c r="BA189" s="704">
        <f t="shared" ca="1" si="76"/>
        <v>0.15777777777777779</v>
      </c>
      <c r="BB189" s="704">
        <f ca="1">IF(Data!$E$83=1,Data!$L$117+Data!$F$59+AZ189/Data!$L$116/Data!$E$59/Data!$L$115,Data!$E$90+Data!$F$59+AZ189/Data!$G$90/Data!$E$59/Data!$D$90)</f>
        <v>0.15777777777777779</v>
      </c>
      <c r="BC189" s="704">
        <f t="shared" ca="1" si="77"/>
        <v>0.71462222222222282</v>
      </c>
      <c r="BD189" s="699">
        <f ca="1">IF(Data!$C$59=1,TRUNC(($A132*0.9-AY189)/$P$86*2000*PI()*0.8,0),IF(Data!$C$59=2,TRUNC(($A132*0.8-(AY189+0.1))/$P$86*2000*PI()*0.8,0),""))</f>
        <v>839</v>
      </c>
      <c r="BE189" s="699"/>
      <c r="BF189" s="704">
        <f t="shared" ca="1" si="78"/>
        <v>0.3430945054945021</v>
      </c>
      <c r="BG189" s="707">
        <f t="shared" ca="1" si="79"/>
        <v>8000</v>
      </c>
      <c r="BH189" s="707">
        <f t="shared" ca="1" si="80"/>
        <v>1333.3333333333335</v>
      </c>
      <c r="BI189" s="699">
        <f t="shared" ca="1" si="81"/>
        <v>0.65999999999999992</v>
      </c>
      <c r="BJ189" s="699">
        <f ca="1">IF(Data!$C$59=1,TRUNC(($A66*0.9-BI189)/$P$89*2000*PI()*0.8,0),IF(Data!$C$59=2,TRUNC(($A66*0.8-(BI189+0.1))/$P$89*2000*PI()*0.8,0),""))</f>
        <v>-176</v>
      </c>
      <c r="BK189" s="699"/>
      <c r="BL189" s="704">
        <f t="shared" ca="1" si="82"/>
        <v>0.3430945054945021</v>
      </c>
      <c r="BM189" s="707">
        <f t="shared" ca="1" si="83"/>
        <v>8000</v>
      </c>
      <c r="BN189" s="707">
        <f t="shared" ca="1" si="84"/>
        <v>533.33333333333337</v>
      </c>
      <c r="BO189" s="699">
        <f t="shared" ca="1" si="85"/>
        <v>0.25666666666666671</v>
      </c>
      <c r="BP189" s="699">
        <f ca="1">IF(Data!$C$59=1,TRUNC(($A66*0.9-BO189)/$P$88*2000*PI()*0.8,0),IF(Data!$C$59=2,TRUNC(($A66*0.8-(BO189+0.1))/$P$88*2000*PI()*0.8,0),""))</f>
        <v>65</v>
      </c>
      <c r="BQ189" s="699"/>
      <c r="BR189" s="704">
        <f t="shared" ca="1" si="86"/>
        <v>0.3430945054945021</v>
      </c>
      <c r="BS189" s="707">
        <f t="shared" ca="1" si="87"/>
        <v>8000</v>
      </c>
      <c r="BT189" s="707">
        <f t="shared" ca="1" si="88"/>
        <v>1333.3333333333335</v>
      </c>
      <c r="BU189" s="699">
        <f t="shared" ca="1" si="89"/>
        <v>0.44999999999999996</v>
      </c>
      <c r="BV189" s="699">
        <f ca="1">IF(Data!$C$59=1,TRUNC(($A66*0.9-BU189)/$P$87*2000*PI()*0.8,0),IF(Data!$C$59=2,TRUNC(($A66*0.8-(BU189+0.1))/$P$87*2000*PI()*0.8,0),""))</f>
        <v>-70</v>
      </c>
      <c r="BW189" s="699"/>
      <c r="BX189" s="704">
        <f t="shared" ca="1" si="90"/>
        <v>0.3430945054945021</v>
      </c>
      <c r="BY189" s="707">
        <f t="shared" ca="1" si="91"/>
        <v>8000</v>
      </c>
      <c r="BZ189" s="707">
        <f t="shared" ca="1" si="92"/>
        <v>400</v>
      </c>
      <c r="CA189" s="699">
        <f t="shared" ca="1" si="93"/>
        <v>0.15000000000000002</v>
      </c>
      <c r="CB189" s="699">
        <f ca="1">IF(Data!$C$59=1,TRUNC(($A66*0.9-CA189)/$P$86*2000*PI()*0.8,0),IF(Data!$C$59=2,TRUNC(($A66*0.8-(CA189+0.1))/$P$86*2000*PI()*0.8,0),""))</f>
        <v>266</v>
      </c>
    </row>
    <row r="190" spans="21:80">
      <c r="U190" s="707">
        <f t="shared" ca="1" si="60"/>
        <v>1253.3333333333333</v>
      </c>
      <c r="V190" s="707">
        <f t="shared" ca="1" si="61"/>
        <v>7520</v>
      </c>
      <c r="W190" s="704">
        <f t="shared" ca="1" si="62"/>
        <v>0.63119999999999998</v>
      </c>
      <c r="X190" s="704">
        <f t="shared" ca="1" si="54"/>
        <v>0.63119999999999998</v>
      </c>
      <c r="Y190" s="704">
        <f t="shared" ca="1" si="63"/>
        <v>0.70133333333333325</v>
      </c>
      <c r="Z190" s="704">
        <f ca="1">IF(Data!$E$83=1,Data!$L$117+Data!$F$59+X190/Data!$L$116/Data!$E$59/Data!$L$115,Data!$E$90+Data!$F$59+X190/Data!$G$90/Data!$E$59/Data!$D$90)</f>
        <v>0.70133333333333325</v>
      </c>
      <c r="AA190" s="704">
        <f t="shared" ca="1" si="64"/>
        <v>0.71071111111111174</v>
      </c>
      <c r="AB190" s="699">
        <f ca="1">IF(Data!$C$59=1,TRUNC(($A133*0.9-W190)/$P$89*2000*PI()*0.8,0),IF(Data!$C$59=2,TRUNC(($A133*0.8-(W190+0.1))/$P$89*2000*PI()*0.8,0),""))</f>
        <v>4</v>
      </c>
      <c r="AC190" s="699"/>
      <c r="AD190" s="706"/>
      <c r="AE190" s="707">
        <f t="shared" ca="1" si="65"/>
        <v>501.33333333333331</v>
      </c>
      <c r="AF190" s="707">
        <f t="shared" ca="1" si="66"/>
        <v>7520</v>
      </c>
      <c r="AG190" s="704">
        <f t="shared" ca="1" si="67"/>
        <v>0.24546666666666669</v>
      </c>
      <c r="AH190" s="704">
        <f t="shared" ca="1" si="55"/>
        <v>0.24546666666666669</v>
      </c>
      <c r="AI190" s="704">
        <f t="shared" ca="1" si="68"/>
        <v>0.27274074074074078</v>
      </c>
      <c r="AJ190" s="704">
        <f ca="1">IF(Data!$E$83=1,Data!$L$117+Data!$F$59+AH190/Data!$L$116/Data!$E$59/Data!$L$115,Data!$E$90+Data!$F$59+AH190/Data!$G$90/Data!$E$59/Data!$D$90)</f>
        <v>0.27274074074074078</v>
      </c>
      <c r="AK190" s="704">
        <f t="shared" ca="1" si="69"/>
        <v>0.71071111111111174</v>
      </c>
      <c r="AL190" s="699">
        <f ca="1">IF(Data!$C$59=1,TRUNC(($A133*0.9-AG190)/$P$88*2000*PI()*0.8,0),IF(Data!$C$59=2,TRUNC(($A133*0.8-(AG190+0.1))/$P$88*2000*PI()*0.8,0),""))</f>
        <v>495</v>
      </c>
      <c r="AM190" s="706"/>
      <c r="AN190" s="707">
        <f t="shared" ca="1" si="70"/>
        <v>1253.3333333333333</v>
      </c>
      <c r="AO190" s="707">
        <f t="shared" ca="1" si="71"/>
        <v>7520</v>
      </c>
      <c r="AP190" s="704">
        <f t="shared" ca="1" si="72"/>
        <v>0.43199999999999994</v>
      </c>
      <c r="AQ190" s="704">
        <f t="shared" ca="1" si="56"/>
        <v>0.43199999999999994</v>
      </c>
      <c r="AR190" s="704">
        <f t="shared" ca="1" si="73"/>
        <v>0.47999999999999993</v>
      </c>
      <c r="AS190" s="704">
        <f ca="1">IF(Data!$E$83=1,Data!$L$117+Data!$F$59+AQ190/Data!$L$116/Data!$E$59/Data!$L$115,Data!$E$90+Data!$F$59+AQ190/Data!$G$90/Data!$E$59/Data!$D$90)</f>
        <v>0.47999999999999993</v>
      </c>
      <c r="AT190" s="704">
        <f t="shared" ca="1" si="74"/>
        <v>0.71071111111111174</v>
      </c>
      <c r="AU190" s="699">
        <f ca="1">IF(Data!$C$59=1,TRUNC(($A133*0.9-AP190)/$P$87*2000*PI()*0.8,0),IF(Data!$C$59=2,TRUNC(($A133*0.8-(AP190+0.1))/$P$87*2000*PI()*0.8,0),""))</f>
        <v>104</v>
      </c>
      <c r="AV190" s="706"/>
      <c r="AW190" s="707">
        <f t="shared" ca="1" si="57"/>
        <v>376</v>
      </c>
      <c r="AX190" s="707">
        <f t="shared" ca="1" si="58"/>
        <v>7520</v>
      </c>
      <c r="AY190" s="704">
        <f t="shared" ca="1" si="75"/>
        <v>0.14400000000000002</v>
      </c>
      <c r="AZ190" s="704">
        <f t="shared" ca="1" si="59"/>
        <v>0.14400000000000002</v>
      </c>
      <c r="BA190" s="704">
        <f t="shared" ca="1" si="76"/>
        <v>0.16</v>
      </c>
      <c r="BB190" s="704">
        <f ca="1">IF(Data!$E$83=1,Data!$L$117+Data!$F$59+AZ190/Data!$L$116/Data!$E$59/Data!$L$115,Data!$E$90+Data!$F$59+AZ190/Data!$G$90/Data!$E$59/Data!$D$90)</f>
        <v>0.16</v>
      </c>
      <c r="BC190" s="704">
        <f t="shared" ca="1" si="77"/>
        <v>0.71071111111111174</v>
      </c>
      <c r="BD190" s="699">
        <f ca="1">IF(Data!$C$59=1,TRUNC(($A133*0.9-AY190)/$P$86*2000*PI()*0.8,0),IF(Data!$C$59=2,TRUNC(($A133*0.8-(AY190+0.1))/$P$86*2000*PI()*0.8,0),""))</f>
        <v>830</v>
      </c>
      <c r="BE190" s="699"/>
      <c r="BF190" s="704">
        <f t="shared" ca="1" si="78"/>
        <v>0.27566839560439221</v>
      </c>
      <c r="BG190" s="707">
        <f t="shared" ca="1" si="79"/>
        <v>8000</v>
      </c>
      <c r="BH190" s="707">
        <f t="shared" ca="1" si="80"/>
        <v>1333.3333333333335</v>
      </c>
      <c r="BI190" s="699">
        <f t="shared" ca="1" si="81"/>
        <v>0.65999999999999992</v>
      </c>
      <c r="BJ190" s="699">
        <f ca="1">IF(Data!$C$59=1,TRUNC(($A67*0.9-BI190)/$P$89*2000*PI()*0.8,0),IF(Data!$C$59=2,TRUNC(($A67*0.8-(BI190+0.1))/$P$89*2000*PI()*0.8,0),""))</f>
        <v>-207</v>
      </c>
      <c r="BK190" s="699"/>
      <c r="BL190" s="704">
        <f t="shared" ca="1" si="82"/>
        <v>0.27566839560439221</v>
      </c>
      <c r="BM190" s="707">
        <f t="shared" ca="1" si="83"/>
        <v>8000</v>
      </c>
      <c r="BN190" s="707">
        <f t="shared" ca="1" si="84"/>
        <v>533.33333333333337</v>
      </c>
      <c r="BO190" s="699">
        <f t="shared" ca="1" si="85"/>
        <v>0.25666666666666671</v>
      </c>
      <c r="BP190" s="699">
        <f ca="1">IF(Data!$C$59=1,TRUNC(($A67*0.9-BO190)/$P$88*2000*PI()*0.8,0),IF(Data!$C$59=2,TRUNC(($A67*0.8-(BO190+0.1))/$P$88*2000*PI()*0.8,0),""))</f>
        <v>-10</v>
      </c>
      <c r="BQ190" s="699"/>
      <c r="BR190" s="704">
        <f t="shared" ca="1" si="86"/>
        <v>0.27566839560439221</v>
      </c>
      <c r="BS190" s="707">
        <f t="shared" ca="1" si="87"/>
        <v>8000</v>
      </c>
      <c r="BT190" s="707">
        <f t="shared" ca="1" si="88"/>
        <v>1333.3333333333335</v>
      </c>
      <c r="BU190" s="699">
        <f t="shared" ca="1" si="89"/>
        <v>0.44999999999999996</v>
      </c>
      <c r="BV190" s="699">
        <f ca="1">IF(Data!$C$59=1,TRUNC(($A67*0.9-BU190)/$P$87*2000*PI()*0.8,0),IF(Data!$C$59=2,TRUNC(($A67*0.8-(BU190+0.1))/$P$87*2000*PI()*0.8,0),""))</f>
        <v>-101</v>
      </c>
      <c r="BW190" s="699"/>
      <c r="BX190" s="704">
        <f t="shared" ca="1" si="90"/>
        <v>0.27566839560439221</v>
      </c>
      <c r="BY190" s="707">
        <f t="shared" ca="1" si="91"/>
        <v>8000</v>
      </c>
      <c r="BZ190" s="707">
        <f t="shared" ca="1" si="92"/>
        <v>400</v>
      </c>
      <c r="CA190" s="699">
        <f t="shared" ca="1" si="93"/>
        <v>0.15000000000000002</v>
      </c>
      <c r="CB190" s="699">
        <f ca="1">IF(Data!$C$59=1,TRUNC(($A67*0.9-CA190)/$P$86*2000*PI()*0.8,0),IF(Data!$C$59=2,TRUNC(($A67*0.8-(CA190+0.1))/$P$86*2000*PI()*0.8,0),""))</f>
        <v>164</v>
      </c>
    </row>
    <row r="191" spans="21:80">
      <c r="U191" s="707">
        <f t="shared" ca="1" si="60"/>
        <v>1280</v>
      </c>
      <c r="V191" s="707">
        <f t="shared" ca="1" si="61"/>
        <v>7680</v>
      </c>
      <c r="W191" s="704">
        <f t="shared" ca="1" si="62"/>
        <v>0.64080000000000004</v>
      </c>
      <c r="X191" s="704">
        <f t="shared" ca="1" si="54"/>
        <v>0.64080000000000004</v>
      </c>
      <c r="Y191" s="704" t="str">
        <f t="shared" ca="1" si="63"/>
        <v/>
      </c>
      <c r="Z191" s="704">
        <f ca="1">IF(Data!$E$83=1,Data!$L$117+Data!$F$59+X191/Data!$L$116/Data!$E$59/Data!$L$115,Data!$E$90+Data!$F$59+X191/Data!$G$90/Data!$E$59/Data!$D$90)</f>
        <v>0.71200000000000008</v>
      </c>
      <c r="AA191" s="704">
        <f t="shared" ca="1" si="64"/>
        <v>0.70680000000000065</v>
      </c>
      <c r="AB191" s="699">
        <f ca="1">IF(Data!$C$59=1,TRUNC(($A134*0.9-W191)/$P$89*2000*PI()*0.8,0),IF(Data!$C$59=2,TRUNC(($A134*0.8-(W191+0.1))/$P$89*2000*PI()*0.8,0),""))</f>
        <v>-2</v>
      </c>
      <c r="AC191" s="699"/>
      <c r="AD191" s="706"/>
      <c r="AE191" s="707">
        <f t="shared" ca="1" si="65"/>
        <v>512</v>
      </c>
      <c r="AF191" s="707">
        <f t="shared" ca="1" si="66"/>
        <v>7680</v>
      </c>
      <c r="AG191" s="704">
        <f t="shared" ca="1" si="67"/>
        <v>0.24920000000000003</v>
      </c>
      <c r="AH191" s="704">
        <f t="shared" ca="1" si="55"/>
        <v>0.24920000000000003</v>
      </c>
      <c r="AI191" s="704">
        <f t="shared" ca="1" si="68"/>
        <v>0.27688888888888891</v>
      </c>
      <c r="AJ191" s="704">
        <f ca="1">IF(Data!$E$83=1,Data!$L$117+Data!$F$59+AH191/Data!$L$116/Data!$E$59/Data!$L$115,Data!$E$90+Data!$F$59+AH191/Data!$G$90/Data!$E$59/Data!$D$90)</f>
        <v>0.27688888888888891</v>
      </c>
      <c r="AK191" s="704">
        <f t="shared" ca="1" si="69"/>
        <v>0.70680000000000065</v>
      </c>
      <c r="AL191" s="699">
        <f ca="1">IF(Data!$C$59=1,TRUNC(($A134*0.9-AG191)/$P$88*2000*PI()*0.8,0),IF(Data!$C$59=2,TRUNC(($A134*0.8-(AG191+0.1))/$P$88*2000*PI()*0.8,0),""))</f>
        <v>486</v>
      </c>
      <c r="AM191" s="706"/>
      <c r="AN191" s="707">
        <f t="shared" ca="1" si="70"/>
        <v>1280</v>
      </c>
      <c r="AO191" s="707">
        <f t="shared" ca="1" si="71"/>
        <v>7680</v>
      </c>
      <c r="AP191" s="704">
        <f t="shared" ca="1" si="72"/>
        <v>0.43799999999999994</v>
      </c>
      <c r="AQ191" s="704">
        <f t="shared" ca="1" si="56"/>
        <v>0.43799999999999994</v>
      </c>
      <c r="AR191" s="704">
        <f t="shared" ca="1" si="73"/>
        <v>0.48666666666666658</v>
      </c>
      <c r="AS191" s="704">
        <f ca="1">IF(Data!$E$83=1,Data!$L$117+Data!$F$59+AQ191/Data!$L$116/Data!$E$59/Data!$L$115,Data!$E$90+Data!$F$59+AQ191/Data!$G$90/Data!$E$59/Data!$D$90)</f>
        <v>0.48666666666666658</v>
      </c>
      <c r="AT191" s="704">
        <f t="shared" ca="1" si="74"/>
        <v>0.70680000000000065</v>
      </c>
      <c r="AU191" s="699">
        <f ca="1">IF(Data!$C$59=1,TRUNC(($A134*0.9-AP191)/$P$87*2000*PI()*0.8,0),IF(Data!$C$59=2,TRUNC(($A134*0.8-(AP191+0.1))/$P$87*2000*PI()*0.8,0),""))</f>
        <v>99</v>
      </c>
      <c r="AV191" s="706"/>
      <c r="AW191" s="707">
        <f t="shared" ca="1" si="57"/>
        <v>384</v>
      </c>
      <c r="AX191" s="707">
        <f t="shared" ca="1" si="58"/>
        <v>7680</v>
      </c>
      <c r="AY191" s="704">
        <f t="shared" ca="1" si="75"/>
        <v>0.14600000000000002</v>
      </c>
      <c r="AZ191" s="704">
        <f t="shared" ca="1" si="59"/>
        <v>0.14600000000000002</v>
      </c>
      <c r="BA191" s="704">
        <f t="shared" ca="1" si="76"/>
        <v>0.16222222222222224</v>
      </c>
      <c r="BB191" s="704">
        <f ca="1">IF(Data!$E$83=1,Data!$L$117+Data!$F$59+AZ191/Data!$L$116/Data!$E$59/Data!$L$115,Data!$E$90+Data!$F$59+AZ191/Data!$G$90/Data!$E$59/Data!$D$90)</f>
        <v>0.16222222222222224</v>
      </c>
      <c r="BC191" s="704">
        <f t="shared" ca="1" si="77"/>
        <v>0.70680000000000065</v>
      </c>
      <c r="BD191" s="699">
        <f ca="1">IF(Data!$C$59=1,TRUNC(($A134*0.9-AY191)/$P$86*2000*PI()*0.8,0),IF(Data!$C$59=2,TRUNC(($A134*0.8-(AY191+0.1))/$P$86*2000*PI()*0.8,0),""))</f>
        <v>821</v>
      </c>
      <c r="BE191" s="699"/>
      <c r="BF191" s="704">
        <f t="shared" ca="1" si="78"/>
        <v>0.20764589010988635</v>
      </c>
      <c r="BG191" s="707">
        <f t="shared" ca="1" si="79"/>
        <v>8000</v>
      </c>
      <c r="BH191" s="707">
        <f t="shared" ca="1" si="80"/>
        <v>1333.3333333333335</v>
      </c>
      <c r="BI191" s="699">
        <f t="shared" ca="1" si="81"/>
        <v>0.65999999999999992</v>
      </c>
      <c r="BJ191" s="699">
        <f ca="1">IF(Data!$C$59=1,TRUNC(($A68*0.9-BI191)/$P$89*2000*PI()*0.8,0),IF(Data!$C$59=2,TRUNC(($A68*0.8-(BI191+0.1))/$P$89*2000*PI()*0.8,0),""))</f>
        <v>-237</v>
      </c>
      <c r="BK191" s="699"/>
      <c r="BL191" s="704">
        <f t="shared" ca="1" si="82"/>
        <v>0.20764589010988635</v>
      </c>
      <c r="BM191" s="707">
        <f t="shared" ca="1" si="83"/>
        <v>8000</v>
      </c>
      <c r="BN191" s="707">
        <f t="shared" ca="1" si="84"/>
        <v>533.33333333333337</v>
      </c>
      <c r="BO191" s="699">
        <f t="shared" ca="1" si="85"/>
        <v>0.25666666666666671</v>
      </c>
      <c r="BP191" s="699">
        <f ca="1">IF(Data!$C$59=1,TRUNC(($A68*0.9-BO191)/$P$88*2000*PI()*0.8,0),IF(Data!$C$59=2,TRUNC(($A68*0.8-(BO191+0.1))/$P$88*2000*PI()*0.8,0),""))</f>
        <v>-87</v>
      </c>
      <c r="BQ191" s="699"/>
      <c r="BR191" s="704">
        <f t="shared" ca="1" si="86"/>
        <v>0.20764589010988635</v>
      </c>
      <c r="BS191" s="707">
        <f t="shared" ca="1" si="87"/>
        <v>8000</v>
      </c>
      <c r="BT191" s="707">
        <f t="shared" ca="1" si="88"/>
        <v>1333.3333333333335</v>
      </c>
      <c r="BU191" s="699">
        <f t="shared" ca="1" si="89"/>
        <v>0.44999999999999996</v>
      </c>
      <c r="BV191" s="699">
        <f ca="1">IF(Data!$C$59=1,TRUNC(($A68*0.9-BU191)/$P$87*2000*PI()*0.8,0),IF(Data!$C$59=2,TRUNC(($A68*0.8-(BU191+0.1))/$P$87*2000*PI()*0.8,0),""))</f>
        <v>-132</v>
      </c>
      <c r="BW191" s="699"/>
      <c r="BX191" s="704">
        <f t="shared" ca="1" si="90"/>
        <v>0.20764589010988635</v>
      </c>
      <c r="BY191" s="707">
        <f t="shared" ca="1" si="91"/>
        <v>8000</v>
      </c>
      <c r="BZ191" s="707">
        <f t="shared" ca="1" si="92"/>
        <v>400</v>
      </c>
      <c r="CA191" s="699">
        <f t="shared" ca="1" si="93"/>
        <v>0.15000000000000002</v>
      </c>
      <c r="CB191" s="699">
        <f ca="1">IF(Data!$C$59=1,TRUNC(($A68*0.9-CA191)/$P$86*2000*PI()*0.8,0),IF(Data!$C$59=2,TRUNC(($A68*0.8-(CA191+0.1))/$P$86*2000*PI()*0.8,0),""))</f>
        <v>61</v>
      </c>
    </row>
    <row r="192" spans="21:80">
      <c r="U192" s="707">
        <f t="shared" ca="1" si="60"/>
        <v>1306.6666666666665</v>
      </c>
      <c r="V192" s="707">
        <f t="shared" ca="1" si="61"/>
        <v>7840</v>
      </c>
      <c r="W192" s="704">
        <f t="shared" ca="1" si="62"/>
        <v>0.65039999999999998</v>
      </c>
      <c r="X192" s="704">
        <f t="shared" ca="1" si="54"/>
        <v>0.65039999999999998</v>
      </c>
      <c r="Y192" s="704" t="str">
        <f t="shared" ca="1" si="63"/>
        <v/>
      </c>
      <c r="Z192" s="704">
        <f ca="1">IF(Data!$E$83=1,Data!$L$117+Data!$F$59+X192/Data!$L$116/Data!$E$59/Data!$L$115,Data!$E$90+Data!$F$59+X192/Data!$G$90/Data!$E$59/Data!$D$90)</f>
        <v>0.72266666666666668</v>
      </c>
      <c r="AA192" s="704">
        <f t="shared" ca="1" si="64"/>
        <v>0.70288888888888956</v>
      </c>
      <c r="AB192" s="699">
        <f ca="1">IF(Data!$C$59=1,TRUNC(($A135*0.9-W192)/$P$89*2000*PI()*0.8,0),IF(Data!$C$59=2,TRUNC(($A135*0.8-(W192+0.1))/$P$89*2000*PI()*0.8,0),""))</f>
        <v>-8</v>
      </c>
      <c r="AC192" s="699"/>
      <c r="AD192" s="706"/>
      <c r="AE192" s="707">
        <f t="shared" ca="1" si="65"/>
        <v>522.66666666666663</v>
      </c>
      <c r="AF192" s="707">
        <f t="shared" ca="1" si="66"/>
        <v>7840</v>
      </c>
      <c r="AG192" s="704">
        <f t="shared" ca="1" si="67"/>
        <v>0.25293333333333334</v>
      </c>
      <c r="AH192" s="704">
        <f t="shared" ca="1" si="55"/>
        <v>0.25293333333333334</v>
      </c>
      <c r="AI192" s="704">
        <f t="shared" ca="1" si="68"/>
        <v>0.28103703703703703</v>
      </c>
      <c r="AJ192" s="704">
        <f ca="1">IF(Data!$E$83=1,Data!$L$117+Data!$F$59+AH192/Data!$L$116/Data!$E$59/Data!$L$115,Data!$E$90+Data!$F$59+AH192/Data!$G$90/Data!$E$59/Data!$D$90)</f>
        <v>0.28103703703703703</v>
      </c>
      <c r="AK192" s="704">
        <f t="shared" ca="1" si="69"/>
        <v>0.70288888888888956</v>
      </c>
      <c r="AL192" s="699">
        <f ca="1">IF(Data!$C$59=1,TRUNC(($A135*0.9-AG192)/$P$88*2000*PI()*0.8,0),IF(Data!$C$59=2,TRUNC(($A135*0.8-(AG192+0.1))/$P$88*2000*PI()*0.8,0),""))</f>
        <v>477</v>
      </c>
      <c r="AM192" s="706"/>
      <c r="AN192" s="707">
        <f t="shared" ca="1" si="70"/>
        <v>1306.6666666666665</v>
      </c>
      <c r="AO192" s="707">
        <f t="shared" ca="1" si="71"/>
        <v>7840</v>
      </c>
      <c r="AP192" s="704">
        <f t="shared" ca="1" si="72"/>
        <v>0.44399999999999995</v>
      </c>
      <c r="AQ192" s="704">
        <f t="shared" ca="1" si="56"/>
        <v>0.44399999999999995</v>
      </c>
      <c r="AR192" s="704">
        <f t="shared" ca="1" si="73"/>
        <v>0.49333333333333329</v>
      </c>
      <c r="AS192" s="704">
        <f ca="1">IF(Data!$E$83=1,Data!$L$117+Data!$F$59+AQ192/Data!$L$116/Data!$E$59/Data!$L$115,Data!$E$90+Data!$F$59+AQ192/Data!$G$90/Data!$E$59/Data!$D$90)</f>
        <v>0.49333333333333329</v>
      </c>
      <c r="AT192" s="704">
        <f t="shared" ca="1" si="74"/>
        <v>0.70288888888888956</v>
      </c>
      <c r="AU192" s="699">
        <f ca="1">IF(Data!$C$59=1,TRUNC(($A135*0.9-AP192)/$P$87*2000*PI()*0.8,0),IF(Data!$C$59=2,TRUNC(($A135*0.8-(AP192+0.1))/$P$87*2000*PI()*0.8,0),""))</f>
        <v>94</v>
      </c>
      <c r="AV192" s="706"/>
      <c r="AW192" s="707">
        <f t="shared" ca="1" si="57"/>
        <v>392</v>
      </c>
      <c r="AX192" s="707">
        <f t="shared" ca="1" si="58"/>
        <v>7840</v>
      </c>
      <c r="AY192" s="704">
        <f t="shared" ca="1" si="75"/>
        <v>0.14800000000000002</v>
      </c>
      <c r="AZ192" s="704">
        <f t="shared" ca="1" si="59"/>
        <v>0.14800000000000002</v>
      </c>
      <c r="BA192" s="704">
        <f t="shared" ca="1" si="76"/>
        <v>0.16444444444444448</v>
      </c>
      <c r="BB192" s="704">
        <f ca="1">IF(Data!$E$83=1,Data!$L$117+Data!$F$59+AZ192/Data!$L$116/Data!$E$59/Data!$L$115,Data!$E$90+Data!$F$59+AZ192/Data!$G$90/Data!$E$59/Data!$D$90)</f>
        <v>0.16444444444444448</v>
      </c>
      <c r="BC192" s="704">
        <f t="shared" ca="1" si="77"/>
        <v>0.70288888888888956</v>
      </c>
      <c r="BD192" s="699">
        <f ca="1">IF(Data!$C$59=1,TRUNC(($A135*0.9-AY192)/$P$86*2000*PI()*0.8,0),IF(Data!$C$59=2,TRUNC(($A135*0.8-(AY192+0.1))/$P$86*2000*PI()*0.8,0),""))</f>
        <v>811</v>
      </c>
      <c r="BE192" s="699"/>
      <c r="BF192" s="704">
        <f t="shared" ca="1" si="78"/>
        <v>0.13902698901098556</v>
      </c>
      <c r="BG192" s="707">
        <f t="shared" ca="1" si="79"/>
        <v>8000</v>
      </c>
      <c r="BH192" s="707">
        <f t="shared" ca="1" si="80"/>
        <v>1333.3333333333335</v>
      </c>
      <c r="BI192" s="699">
        <f t="shared" ca="1" si="81"/>
        <v>0.65999999999999992</v>
      </c>
      <c r="BJ192" s="699">
        <f ca="1">IF(Data!$C$59=1,TRUNC(($A69*0.9-BI192)/$P$89*2000*PI()*0.8,0),IF(Data!$C$59=2,TRUNC(($A69*0.8-(BI192+0.1))/$P$89*2000*PI()*0.8,0),""))</f>
        <v>-268</v>
      </c>
      <c r="BK192" s="699"/>
      <c r="BL192" s="704">
        <f t="shared" ca="1" si="82"/>
        <v>0.13902698901098556</v>
      </c>
      <c r="BM192" s="707">
        <f t="shared" ca="1" si="83"/>
        <v>8000</v>
      </c>
      <c r="BN192" s="707">
        <f t="shared" ca="1" si="84"/>
        <v>533.33333333333337</v>
      </c>
      <c r="BO192" s="699">
        <f t="shared" ca="1" si="85"/>
        <v>0.25666666666666671</v>
      </c>
      <c r="BP192" s="699">
        <f ca="1">IF(Data!$C$59=1,TRUNC(($A69*0.9-BO192)/$P$88*2000*PI()*0.8,0),IF(Data!$C$59=2,TRUNC(($A69*0.8-(BO192+0.1))/$P$88*2000*PI()*0.8,0),""))</f>
        <v>-165</v>
      </c>
      <c r="BQ192" s="699"/>
      <c r="BR192" s="704">
        <f t="shared" ca="1" si="86"/>
        <v>0.13902698901098556</v>
      </c>
      <c r="BS192" s="707">
        <f t="shared" ca="1" si="87"/>
        <v>8000</v>
      </c>
      <c r="BT192" s="707">
        <f t="shared" ca="1" si="88"/>
        <v>1333.3333333333335</v>
      </c>
      <c r="BU192" s="699">
        <f t="shared" ca="1" si="89"/>
        <v>0.44999999999999996</v>
      </c>
      <c r="BV192" s="699">
        <f ca="1">IF(Data!$C$59=1,TRUNC(($A69*0.9-BU192)/$P$87*2000*PI()*0.8,0),IF(Data!$C$59=2,TRUNC(($A69*0.8-(BU192+0.1))/$P$87*2000*PI()*0.8,0),""))</f>
        <v>-163</v>
      </c>
      <c r="BW192" s="699"/>
      <c r="BX192" s="704">
        <f t="shared" ca="1" si="90"/>
        <v>0.13902698901098556</v>
      </c>
      <c r="BY192" s="707">
        <f t="shared" ca="1" si="91"/>
        <v>8000</v>
      </c>
      <c r="BZ192" s="707">
        <f t="shared" ca="1" si="92"/>
        <v>400</v>
      </c>
      <c r="CA192" s="699">
        <f t="shared" ca="1" si="93"/>
        <v>0.15000000000000002</v>
      </c>
      <c r="CB192" s="699">
        <f ca="1">IF(Data!$C$59=1,TRUNC(($A69*0.9-CA192)/$P$86*2000*PI()*0.8,0),IF(Data!$C$59=2,TRUNC(($A69*0.8-(CA192+0.1))/$P$86*2000*PI()*0.8,0),""))</f>
        <v>-41</v>
      </c>
    </row>
    <row r="193" spans="21:80">
      <c r="U193" s="707">
        <f t="shared" ca="1" si="60"/>
        <v>1333.3333333333335</v>
      </c>
      <c r="V193" s="707">
        <f t="shared" ca="1" si="61"/>
        <v>8000</v>
      </c>
      <c r="W193" s="704">
        <f t="shared" ca="1" si="62"/>
        <v>0.65999999999999992</v>
      </c>
      <c r="X193" s="704">
        <f t="shared" ca="1" si="54"/>
        <v>0.65999999999999992</v>
      </c>
      <c r="Y193" s="704" t="str">
        <f t="shared" ca="1" si="63"/>
        <v/>
      </c>
      <c r="Z193" s="704">
        <f ca="1">IF(Data!$E$83=1,Data!$L$117+Data!$F$59+X193/Data!$L$116/Data!$E$59/Data!$L$115,Data!$E$90+Data!$F$59+X193/Data!$G$90/Data!$E$59/Data!$D$90)</f>
        <v>0.73333333333333328</v>
      </c>
      <c r="AA193" s="704">
        <f t="shared" ca="1" si="64"/>
        <v>0.7</v>
      </c>
      <c r="AB193" s="699">
        <f ca="1">IF(Data!$C$59=1,TRUNC(($A136*0.9-W193)/$P$89*2000*PI()*0.8,0),IF(Data!$C$59=2,TRUNC(($A136*0.8-(W193+0.1))/$P$89*2000*PI()*0.8,0),""))</f>
        <v>-15</v>
      </c>
      <c r="AC193" s="699"/>
      <c r="AD193" s="706"/>
      <c r="AE193" s="707">
        <f t="shared" ca="1" si="65"/>
        <v>533.33333333333337</v>
      </c>
      <c r="AF193" s="707">
        <f t="shared" ca="1" si="66"/>
        <v>8000</v>
      </c>
      <c r="AG193" s="704">
        <f t="shared" ca="1" si="67"/>
        <v>0.25666666666666671</v>
      </c>
      <c r="AH193" s="704">
        <f t="shared" ca="1" si="55"/>
        <v>0.25666666666666671</v>
      </c>
      <c r="AI193" s="704">
        <f t="shared" ca="1" si="68"/>
        <v>0.28518518518518521</v>
      </c>
      <c r="AJ193" s="704">
        <f ca="1">IF(Data!$E$83=1,Data!$L$117+Data!$F$59+AH193/Data!$L$116/Data!$E$59/Data!$L$115,Data!$E$90+Data!$F$59+AH193/Data!$G$90/Data!$E$59/Data!$D$90)</f>
        <v>0.28518518518518521</v>
      </c>
      <c r="AK193" s="704">
        <f t="shared" ca="1" si="69"/>
        <v>0.7</v>
      </c>
      <c r="AL193" s="699">
        <f ca="1">IF(Data!$C$59=1,TRUNC(($A136*0.9-AG193)/$P$88*2000*PI()*0.8,0),IF(Data!$C$59=2,TRUNC(($A136*0.8-(AG193+0.1))/$P$88*2000*PI()*0.8,0),""))</f>
        <v>469</v>
      </c>
      <c r="AM193" s="706"/>
      <c r="AN193" s="707">
        <f t="shared" ca="1" si="70"/>
        <v>1333.3333333333335</v>
      </c>
      <c r="AO193" s="707">
        <f t="shared" ca="1" si="71"/>
        <v>8000</v>
      </c>
      <c r="AP193" s="704">
        <f t="shared" ca="1" si="72"/>
        <v>0.44999999999999996</v>
      </c>
      <c r="AQ193" s="704">
        <f t="shared" ca="1" si="56"/>
        <v>0.44999999999999996</v>
      </c>
      <c r="AR193" s="704">
        <f t="shared" ca="1" si="73"/>
        <v>0.49999999999999994</v>
      </c>
      <c r="AS193" s="704">
        <f ca="1">IF(Data!$E$83=1,Data!$L$117+Data!$F$59+AQ193/Data!$L$116/Data!$E$59/Data!$L$115,Data!$E$90+Data!$F$59+AQ193/Data!$G$90/Data!$E$59/Data!$D$90)</f>
        <v>0.49999999999999994</v>
      </c>
      <c r="AT193" s="704">
        <f t="shared" ca="1" si="74"/>
        <v>0.7</v>
      </c>
      <c r="AU193" s="699">
        <f ca="1">IF(Data!$C$59=1,TRUNC(($A136*0.9-AP193)/$P$87*2000*PI()*0.8,0),IF(Data!$C$59=2,TRUNC(($A136*0.8-(AP193+0.1))/$P$87*2000*PI()*0.8,0),""))</f>
        <v>90</v>
      </c>
      <c r="AV193" s="706"/>
      <c r="AW193" s="707">
        <f t="shared" ca="1" si="57"/>
        <v>400</v>
      </c>
      <c r="AX193" s="707">
        <f t="shared" ca="1" si="58"/>
        <v>8000</v>
      </c>
      <c r="AY193" s="704">
        <f t="shared" ca="1" si="75"/>
        <v>0.15000000000000002</v>
      </c>
      <c r="AZ193" s="704">
        <f t="shared" ca="1" si="59"/>
        <v>0.15000000000000002</v>
      </c>
      <c r="BA193" s="704">
        <f t="shared" ca="1" si="76"/>
        <v>0.16666666666666669</v>
      </c>
      <c r="BB193" s="704">
        <f ca="1">IF(Data!$E$83=1,Data!$L$117+Data!$F$59+AZ193/Data!$L$116/Data!$E$59/Data!$L$115,Data!$E$90+Data!$F$59+AZ193/Data!$G$90/Data!$E$59/Data!$D$90)</f>
        <v>0.16666666666666669</v>
      </c>
      <c r="BC193" s="704">
        <f t="shared" ca="1" si="77"/>
        <v>0.7</v>
      </c>
      <c r="BD193" s="699">
        <f ca="1">IF(Data!$C$59=1,TRUNC(($A136*0.9-AY193)/$P$86*2000*PI()*0.8,0),IF(Data!$C$59=2,TRUNC(($A136*0.8-(AY193+0.1))/$P$86*2000*PI()*0.8,0),""))</f>
        <v>804</v>
      </c>
      <c r="BE193" s="699"/>
      <c r="BF193" s="704">
        <f t="shared" ca="1" si="78"/>
        <v>6.9811692307688827E-2</v>
      </c>
      <c r="BG193" s="707">
        <f t="shared" ca="1" si="79"/>
        <v>8000</v>
      </c>
      <c r="BH193" s="707">
        <f t="shared" ca="1" si="80"/>
        <v>1333.3333333333335</v>
      </c>
      <c r="BI193" s="699">
        <f t="shared" ca="1" si="81"/>
        <v>0.65999999999999992</v>
      </c>
      <c r="BJ193" s="699">
        <f ca="1">IF(Data!$C$59=1,TRUNC(($A70*0.9-BI193)/$P$89*2000*PI()*0.8,0),IF(Data!$C$59=2,TRUNC(($A70*0.8-(BI193+0.1))/$P$89*2000*PI()*0.8,0),""))</f>
        <v>-300</v>
      </c>
      <c r="BK193" s="699"/>
      <c r="BL193" s="704">
        <f t="shared" ca="1" si="82"/>
        <v>6.9811692307688827E-2</v>
      </c>
      <c r="BM193" s="707">
        <f t="shared" ca="1" si="83"/>
        <v>8000</v>
      </c>
      <c r="BN193" s="707">
        <f t="shared" ca="1" si="84"/>
        <v>533.33333333333337</v>
      </c>
      <c r="BO193" s="699">
        <f t="shared" ca="1" si="85"/>
        <v>0.25666666666666671</v>
      </c>
      <c r="BP193" s="699">
        <f ca="1">IF(Data!$C$59=1,TRUNC(($A70*0.9-BO193)/$P$88*2000*PI()*0.8,0),IF(Data!$C$59=2,TRUNC(($A70*0.8-(BO193+0.1))/$P$88*2000*PI()*0.8,0),""))</f>
        <v>-243</v>
      </c>
      <c r="BQ193" s="699"/>
      <c r="BR193" s="704">
        <f t="shared" ca="1" si="86"/>
        <v>6.9811692307688827E-2</v>
      </c>
      <c r="BS193" s="707">
        <f t="shared" ca="1" si="87"/>
        <v>8000</v>
      </c>
      <c r="BT193" s="707">
        <f t="shared" ca="1" si="88"/>
        <v>1333.3333333333335</v>
      </c>
      <c r="BU193" s="699">
        <f t="shared" ca="1" si="89"/>
        <v>0.44999999999999996</v>
      </c>
      <c r="BV193" s="699">
        <f ca="1">IF(Data!$C$59=1,TRUNC(($A70*0.9-BU193)/$P$87*2000*PI()*0.8,0),IF(Data!$C$59=2,TRUNC(($A70*0.8-(BU193+0.1))/$P$87*2000*PI()*0.8,0),""))</f>
        <v>-194</v>
      </c>
      <c r="BW193" s="699"/>
      <c r="BX193" s="704">
        <f t="shared" ca="1" si="90"/>
        <v>6.9811692307688827E-2</v>
      </c>
      <c r="BY193" s="707">
        <f t="shared" ca="1" si="91"/>
        <v>8000</v>
      </c>
      <c r="BZ193" s="707">
        <f t="shared" ca="1" si="92"/>
        <v>400</v>
      </c>
      <c r="CA193" s="699">
        <f t="shared" ca="1" si="93"/>
        <v>0.15000000000000002</v>
      </c>
      <c r="CB193" s="699">
        <f ca="1">IF(Data!$C$59=1,TRUNC(($A70*0.9-CA193)/$P$86*2000*PI()*0.8,0),IF(Data!$C$59=2,TRUNC(($A70*0.8-(CA193+0.1))/$P$86*2000*PI()*0.8,0),""))</f>
        <v>-146</v>
      </c>
    </row>
    <row r="194" spans="21:80">
      <c r="U194" s="707">
        <f ca="1">U193</f>
        <v>1333.3333333333335</v>
      </c>
      <c r="V194" s="699"/>
      <c r="W194" s="699"/>
      <c r="X194" s="699"/>
      <c r="Y194" s="699"/>
      <c r="Z194" s="704">
        <f>IF(Data!$E$83=1,Data!$L$117+Data!$F$59+X194/Data!$L$116/Data!$E$59/Data!$L$115,Data!$E$90+Data!$F$59+X194/Data!$G$90/Data!$E$59/Data!$D$90)</f>
        <v>0</v>
      </c>
      <c r="AA194" s="699"/>
      <c r="AB194" s="699"/>
      <c r="AC194" s="699"/>
      <c r="AD194" s="699"/>
      <c r="AE194" s="707">
        <f ca="1">AE193</f>
        <v>533.33333333333337</v>
      </c>
      <c r="AF194" s="699"/>
      <c r="AG194" s="699"/>
      <c r="AH194" s="699"/>
      <c r="AI194" s="699"/>
      <c r="AJ194" s="704">
        <f>IF(Data!$E$83=1,Data!$L$117+Data!$F$59+AH194/Data!$L$116/Data!$E$59/Data!$L$115,Data!$E$90+Data!$F$59+AH194/Data!$G$90/Data!$E$59/Data!$D$90)</f>
        <v>0</v>
      </c>
      <c r="AK194" s="699"/>
      <c r="AL194" s="699"/>
      <c r="AM194" s="699"/>
      <c r="AN194" s="707">
        <f ca="1">AN193</f>
        <v>1333.3333333333335</v>
      </c>
      <c r="AO194" s="699"/>
      <c r="AP194" s="699"/>
      <c r="AQ194" s="699"/>
      <c r="AR194" s="699"/>
      <c r="AS194" s="704">
        <f>IF(Data!$E$83=1,Data!$L$117+Data!$F$59+AQ194/Data!$L$116/Data!$E$59/Data!$L$115,Data!$E$90+Data!$F$59+AQ194/Data!$G$90/Data!$E$59/Data!$D$90)</f>
        <v>0</v>
      </c>
      <c r="AT194" s="699"/>
      <c r="AU194" s="699"/>
      <c r="AV194" s="699"/>
      <c r="AW194" s="707">
        <f ca="1">AW193</f>
        <v>400</v>
      </c>
      <c r="AX194" s="699"/>
      <c r="AY194" s="699"/>
      <c r="AZ194" s="699"/>
      <c r="BA194" s="699"/>
      <c r="BB194" s="704">
        <f>IF(Data!$E$83=1,Data!$L$117+Data!$F$59+AZ194/Data!$L$116/Data!$E$59/Data!$L$115,Data!$E$90+Data!$F$59+AZ194/Data!$G$90/Data!$E$59/Data!$D$90)</f>
        <v>0</v>
      </c>
      <c r="BC194" s="699"/>
      <c r="BD194" s="699"/>
      <c r="BE194" s="699"/>
      <c r="BF194" s="704">
        <f t="shared" ca="1" si="78"/>
        <v>0</v>
      </c>
      <c r="BG194" s="707">
        <f t="shared" ca="1" si="79"/>
        <v>8000</v>
      </c>
      <c r="BH194" s="707">
        <f t="shared" ca="1" si="80"/>
        <v>1333.3333333333335</v>
      </c>
      <c r="BI194" s="699">
        <f t="shared" ca="1" si="81"/>
        <v>0.65999999999999992</v>
      </c>
      <c r="BJ194" s="699">
        <f ca="1">IF(Data!$C$59=1,TRUNC(($A71*0.9-BI194)/$P$89*2000*PI()*0.8,0),IF(Data!$C$59=2,TRUNC(($A71*0.8-(BI194+0.1))/$P$89*2000*PI()*0.8,0),""))</f>
        <v>-331</v>
      </c>
      <c r="BK194" s="699"/>
      <c r="BL194" s="704">
        <f t="shared" ca="1" si="82"/>
        <v>0</v>
      </c>
      <c r="BM194" s="707">
        <f t="shared" ca="1" si="83"/>
        <v>8000</v>
      </c>
      <c r="BN194" s="707">
        <f t="shared" ca="1" si="84"/>
        <v>533.33333333333337</v>
      </c>
      <c r="BO194" s="699">
        <f t="shared" ca="1" si="85"/>
        <v>0.25666666666666671</v>
      </c>
      <c r="BP194" s="699">
        <f ca="1">IF(Data!$C$59=1,TRUNC(($A71*0.9-BO194)/$P$88*2000*PI()*0.8,0),IF(Data!$C$59=2,TRUNC(($A71*0.8-(BO194+0.1))/$P$88*2000*PI()*0.8,0),""))</f>
        <v>-322</v>
      </c>
      <c r="BQ194" s="699"/>
      <c r="BR194" s="704">
        <f t="shared" ca="1" si="86"/>
        <v>0</v>
      </c>
      <c r="BS194" s="707">
        <f t="shared" ca="1" si="87"/>
        <v>8000</v>
      </c>
      <c r="BT194" s="707">
        <f t="shared" ca="1" si="88"/>
        <v>1333.3333333333335</v>
      </c>
      <c r="BU194" s="699">
        <f t="shared" ca="1" si="89"/>
        <v>0.44999999999999996</v>
      </c>
      <c r="BV194" s="699">
        <f ca="1">IF(Data!$C$59=1,TRUNC(($A71*0.9-BU194)/$P$87*2000*PI()*0.8,0),IF(Data!$C$59=2,TRUNC(($A71*0.8-(BU194+0.1))/$P$87*2000*PI()*0.8,0),""))</f>
        <v>-226</v>
      </c>
      <c r="BW194" s="699"/>
      <c r="BX194" s="704">
        <f t="shared" ca="1" si="90"/>
        <v>0</v>
      </c>
      <c r="BY194" s="707">
        <f t="shared" ca="1" si="91"/>
        <v>8000</v>
      </c>
      <c r="BZ194" s="707">
        <f t="shared" ca="1" si="92"/>
        <v>400</v>
      </c>
      <c r="CA194" s="699">
        <f t="shared" ca="1" si="93"/>
        <v>0.15000000000000002</v>
      </c>
      <c r="CB194" s="699">
        <f ca="1">IF(Data!$C$59=1,TRUNC(($A71*0.9-CA194)/$P$86*2000*PI()*0.8,0),IF(Data!$C$59=2,TRUNC(($A71*0.8-(CA194+0.1))/$P$86*2000*PI()*0.8,0),""))</f>
        <v>-251</v>
      </c>
    </row>
  </sheetData>
  <sheetProtection algorithmName="SHA-512" hashValue="qiyqNAs4pB66m2M6AqBsN0VviP61I2g5R8yvUXYr6KkTI2YpRNiWiH9kEgYllL7fu1sMwWT2JjeWB0qhQl6cIA==" saltValue="HVenE1ro0oTlyCS5RSe4uA==" spinCount="100000" sheet="1" objects="1" scenarios="1"/>
  <mergeCells count="5">
    <mergeCell ref="P99:Q99"/>
    <mergeCell ref="U81:AU81"/>
    <mergeCell ref="AX81:BO81"/>
    <mergeCell ref="V138:BD138"/>
    <mergeCell ref="BF138:CB138"/>
  </mergeCells>
  <conditionalFormatting sqref="AI86:AI136">
    <cfRule type="cellIs" dxfId="12" priority="1" stopIfTrue="1" operator="greaterThan">
      <formula>$A$78</formula>
    </cfRule>
  </conditionalFormatting>
  <conditionalFormatting sqref="Y86:Y136">
    <cfRule type="cellIs" dxfId="11" priority="10" stopIfTrue="1" operator="greaterThan">
      <formula>A86</formula>
    </cfRule>
  </conditionalFormatting>
  <conditionalFormatting sqref="AR86:AR136 AT143:AT193">
    <cfRule type="cellIs" dxfId="10" priority="9" stopIfTrue="1" operator="greaterThan">
      <formula>$A$78</formula>
    </cfRule>
  </conditionalFormatting>
  <conditionalFormatting sqref="U86:U136">
    <cfRule type="cellIs" dxfId="9" priority="8" stopIfTrue="1" operator="greaterThan">
      <formula>$O$101</formula>
    </cfRule>
  </conditionalFormatting>
  <conditionalFormatting sqref="AE86:AE136">
    <cfRule type="cellIs" dxfId="8" priority="7" stopIfTrue="1" operator="greaterThan">
      <formula>$O$100</formula>
    </cfRule>
  </conditionalFormatting>
  <conditionalFormatting sqref="AN86:AN136">
    <cfRule type="cellIs" dxfId="7" priority="6" stopIfTrue="1" operator="greaterThan">
      <formula>$O$99</formula>
    </cfRule>
  </conditionalFormatting>
  <conditionalFormatting sqref="U143:U193">
    <cfRule type="cellIs" dxfId="6" priority="5" stopIfTrue="1" operator="greaterThan">
      <formula>$O$98</formula>
    </cfRule>
  </conditionalFormatting>
  <conditionalFormatting sqref="AE143:AE193">
    <cfRule type="cellIs" dxfId="5" priority="4" stopIfTrue="1" operator="greaterThan">
      <formula>$O$97</formula>
    </cfRule>
  </conditionalFormatting>
  <conditionalFormatting sqref="AN143:AN193">
    <cfRule type="cellIs" dxfId="4" priority="3" stopIfTrue="1" operator="greaterThan">
      <formula>$O$96</formula>
    </cfRule>
  </conditionalFormatting>
  <conditionalFormatting sqref="AW143:AW193">
    <cfRule type="cellIs" dxfId="3" priority="2" stopIfTrue="1" operator="greaterThan">
      <formula>$O$95</formula>
    </cfRule>
  </conditionalFormatting>
  <pageMargins left="0.78740157499999996" right="0.78740157499999996" top="0.984251969" bottom="0.984251969" header="0.4921259845" footer="0.4921259845"/>
  <pageSetup paperSize="9" orientation="portrait" horizontalDpi="1200" verticalDpi="1200" r:id="rId1"/>
  <headerFooter alignWithMargins="0"/>
  <customProperties>
    <customPr name="workbookAdvencedSettings" r:id="rId2"/>
    <customPr name="workbookExecutionSettings" r:id="rId3"/>
    <customPr name="workbookGatewaySettings"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O224"/>
  <sheetViews>
    <sheetView topLeftCell="A201" zoomScale="75" workbookViewId="0">
      <selection activeCell="G209" sqref="G209"/>
    </sheetView>
  </sheetViews>
  <sheetFormatPr defaultRowHeight="12.75"/>
  <cols>
    <col min="1" max="1" width="21.140625" style="586" customWidth="1"/>
    <col min="2" max="2" width="15.140625" style="586" customWidth="1"/>
    <col min="3" max="8" width="11.42578125" style="586" customWidth="1"/>
    <col min="9" max="9" width="12" style="586" customWidth="1"/>
    <col min="10" max="10" width="27" style="586" customWidth="1"/>
    <col min="11" max="11" width="25.5703125" style="374" customWidth="1"/>
    <col min="12" max="12" width="10" style="374" customWidth="1"/>
    <col min="13" max="13" width="11.5703125" style="374" bestFit="1" customWidth="1"/>
    <col min="14" max="14" width="11.5703125" style="620" bestFit="1" customWidth="1"/>
    <col min="15" max="15" width="19.140625" style="620" customWidth="1"/>
    <col min="16" max="256" width="9.140625" style="374"/>
    <col min="257" max="257" width="21.140625" style="374" customWidth="1"/>
    <col min="258" max="258" width="15.140625" style="374" customWidth="1"/>
    <col min="259" max="264" width="11.42578125" style="374" customWidth="1"/>
    <col min="265" max="265" width="12" style="374" customWidth="1"/>
    <col min="266" max="266" width="27" style="374" customWidth="1"/>
    <col min="267" max="267" width="25.5703125" style="374" customWidth="1"/>
    <col min="268" max="268" width="10" style="374" customWidth="1"/>
    <col min="269" max="270" width="11.5703125" style="374" bestFit="1" customWidth="1"/>
    <col min="271" max="271" width="19.140625" style="374" customWidth="1"/>
    <col min="272" max="512" width="9.140625" style="374"/>
    <col min="513" max="513" width="21.140625" style="374" customWidth="1"/>
    <col min="514" max="514" width="15.140625" style="374" customWidth="1"/>
    <col min="515" max="520" width="11.42578125" style="374" customWidth="1"/>
    <col min="521" max="521" width="12" style="374" customWidth="1"/>
    <col min="522" max="522" width="27" style="374" customWidth="1"/>
    <col min="523" max="523" width="25.5703125" style="374" customWidth="1"/>
    <col min="524" max="524" width="10" style="374" customWidth="1"/>
    <col min="525" max="526" width="11.5703125" style="374" bestFit="1" customWidth="1"/>
    <col min="527" max="527" width="19.140625" style="374" customWidth="1"/>
    <col min="528" max="768" width="9.140625" style="374"/>
    <col min="769" max="769" width="21.140625" style="374" customWidth="1"/>
    <col min="770" max="770" width="15.140625" style="374" customWidth="1"/>
    <col min="771" max="776" width="11.42578125" style="374" customWidth="1"/>
    <col min="777" max="777" width="12" style="374" customWidth="1"/>
    <col min="778" max="778" width="27" style="374" customWidth="1"/>
    <col min="779" max="779" width="25.5703125" style="374" customWidth="1"/>
    <col min="780" max="780" width="10" style="374" customWidth="1"/>
    <col min="781" max="782" width="11.5703125" style="374" bestFit="1" customWidth="1"/>
    <col min="783" max="783" width="19.140625" style="374" customWidth="1"/>
    <col min="784" max="1024" width="9.140625" style="374"/>
    <col min="1025" max="1025" width="21.140625" style="374" customWidth="1"/>
    <col min="1026" max="1026" width="15.140625" style="374" customWidth="1"/>
    <col min="1027" max="1032" width="11.42578125" style="374" customWidth="1"/>
    <col min="1033" max="1033" width="12" style="374" customWidth="1"/>
    <col min="1034" max="1034" width="27" style="374" customWidth="1"/>
    <col min="1035" max="1035" width="25.5703125" style="374" customWidth="1"/>
    <col min="1036" max="1036" width="10" style="374" customWidth="1"/>
    <col min="1037" max="1038" width="11.5703125" style="374" bestFit="1" customWidth="1"/>
    <col min="1039" max="1039" width="19.140625" style="374" customWidth="1"/>
    <col min="1040" max="1280" width="9.140625" style="374"/>
    <col min="1281" max="1281" width="21.140625" style="374" customWidth="1"/>
    <col min="1282" max="1282" width="15.140625" style="374" customWidth="1"/>
    <col min="1283" max="1288" width="11.42578125" style="374" customWidth="1"/>
    <col min="1289" max="1289" width="12" style="374" customWidth="1"/>
    <col min="1290" max="1290" width="27" style="374" customWidth="1"/>
    <col min="1291" max="1291" width="25.5703125" style="374" customWidth="1"/>
    <col min="1292" max="1292" width="10" style="374" customWidth="1"/>
    <col min="1293" max="1294" width="11.5703125" style="374" bestFit="1" customWidth="1"/>
    <col min="1295" max="1295" width="19.140625" style="374" customWidth="1"/>
    <col min="1296" max="1536" width="9.140625" style="374"/>
    <col min="1537" max="1537" width="21.140625" style="374" customWidth="1"/>
    <col min="1538" max="1538" width="15.140625" style="374" customWidth="1"/>
    <col min="1539" max="1544" width="11.42578125" style="374" customWidth="1"/>
    <col min="1545" max="1545" width="12" style="374" customWidth="1"/>
    <col min="1546" max="1546" width="27" style="374" customWidth="1"/>
    <col min="1547" max="1547" width="25.5703125" style="374" customWidth="1"/>
    <col min="1548" max="1548" width="10" style="374" customWidth="1"/>
    <col min="1549" max="1550" width="11.5703125" style="374" bestFit="1" customWidth="1"/>
    <col min="1551" max="1551" width="19.140625" style="374" customWidth="1"/>
    <col min="1552" max="1792" width="9.140625" style="374"/>
    <col min="1793" max="1793" width="21.140625" style="374" customWidth="1"/>
    <col min="1794" max="1794" width="15.140625" style="374" customWidth="1"/>
    <col min="1795" max="1800" width="11.42578125" style="374" customWidth="1"/>
    <col min="1801" max="1801" width="12" style="374" customWidth="1"/>
    <col min="1802" max="1802" width="27" style="374" customWidth="1"/>
    <col min="1803" max="1803" width="25.5703125" style="374" customWidth="1"/>
    <col min="1804" max="1804" width="10" style="374" customWidth="1"/>
    <col min="1805" max="1806" width="11.5703125" style="374" bestFit="1" customWidth="1"/>
    <col min="1807" max="1807" width="19.140625" style="374" customWidth="1"/>
    <col min="1808" max="2048" width="9.140625" style="374"/>
    <col min="2049" max="2049" width="21.140625" style="374" customWidth="1"/>
    <col min="2050" max="2050" width="15.140625" style="374" customWidth="1"/>
    <col min="2051" max="2056" width="11.42578125" style="374" customWidth="1"/>
    <col min="2057" max="2057" width="12" style="374" customWidth="1"/>
    <col min="2058" max="2058" width="27" style="374" customWidth="1"/>
    <col min="2059" max="2059" width="25.5703125" style="374" customWidth="1"/>
    <col min="2060" max="2060" width="10" style="374" customWidth="1"/>
    <col min="2061" max="2062" width="11.5703125" style="374" bestFit="1" customWidth="1"/>
    <col min="2063" max="2063" width="19.140625" style="374" customWidth="1"/>
    <col min="2064" max="2304" width="9.140625" style="374"/>
    <col min="2305" max="2305" width="21.140625" style="374" customWidth="1"/>
    <col min="2306" max="2306" width="15.140625" style="374" customWidth="1"/>
    <col min="2307" max="2312" width="11.42578125" style="374" customWidth="1"/>
    <col min="2313" max="2313" width="12" style="374" customWidth="1"/>
    <col min="2314" max="2314" width="27" style="374" customWidth="1"/>
    <col min="2315" max="2315" width="25.5703125" style="374" customWidth="1"/>
    <col min="2316" max="2316" width="10" style="374" customWidth="1"/>
    <col min="2317" max="2318" width="11.5703125" style="374" bestFit="1" customWidth="1"/>
    <col min="2319" max="2319" width="19.140625" style="374" customWidth="1"/>
    <col min="2320" max="2560" width="9.140625" style="374"/>
    <col min="2561" max="2561" width="21.140625" style="374" customWidth="1"/>
    <col min="2562" max="2562" width="15.140625" style="374" customWidth="1"/>
    <col min="2563" max="2568" width="11.42578125" style="374" customWidth="1"/>
    <col min="2569" max="2569" width="12" style="374" customWidth="1"/>
    <col min="2570" max="2570" width="27" style="374" customWidth="1"/>
    <col min="2571" max="2571" width="25.5703125" style="374" customWidth="1"/>
    <col min="2572" max="2572" width="10" style="374" customWidth="1"/>
    <col min="2573" max="2574" width="11.5703125" style="374" bestFit="1" customWidth="1"/>
    <col min="2575" max="2575" width="19.140625" style="374" customWidth="1"/>
    <col min="2576" max="2816" width="9.140625" style="374"/>
    <col min="2817" max="2817" width="21.140625" style="374" customWidth="1"/>
    <col min="2818" max="2818" width="15.140625" style="374" customWidth="1"/>
    <col min="2819" max="2824" width="11.42578125" style="374" customWidth="1"/>
    <col min="2825" max="2825" width="12" style="374" customWidth="1"/>
    <col min="2826" max="2826" width="27" style="374" customWidth="1"/>
    <col min="2827" max="2827" width="25.5703125" style="374" customWidth="1"/>
    <col min="2828" max="2828" width="10" style="374" customWidth="1"/>
    <col min="2829" max="2830" width="11.5703125" style="374" bestFit="1" customWidth="1"/>
    <col min="2831" max="2831" width="19.140625" style="374" customWidth="1"/>
    <col min="2832" max="3072" width="9.140625" style="374"/>
    <col min="3073" max="3073" width="21.140625" style="374" customWidth="1"/>
    <col min="3074" max="3074" width="15.140625" style="374" customWidth="1"/>
    <col min="3075" max="3080" width="11.42578125" style="374" customWidth="1"/>
    <col min="3081" max="3081" width="12" style="374" customWidth="1"/>
    <col min="3082" max="3082" width="27" style="374" customWidth="1"/>
    <col min="3083" max="3083" width="25.5703125" style="374" customWidth="1"/>
    <col min="3084" max="3084" width="10" style="374" customWidth="1"/>
    <col min="3085" max="3086" width="11.5703125" style="374" bestFit="1" customWidth="1"/>
    <col min="3087" max="3087" width="19.140625" style="374" customWidth="1"/>
    <col min="3088" max="3328" width="9.140625" style="374"/>
    <col min="3329" max="3329" width="21.140625" style="374" customWidth="1"/>
    <col min="3330" max="3330" width="15.140625" style="374" customWidth="1"/>
    <col min="3331" max="3336" width="11.42578125" style="374" customWidth="1"/>
    <col min="3337" max="3337" width="12" style="374" customWidth="1"/>
    <col min="3338" max="3338" width="27" style="374" customWidth="1"/>
    <col min="3339" max="3339" width="25.5703125" style="374" customWidth="1"/>
    <col min="3340" max="3340" width="10" style="374" customWidth="1"/>
    <col min="3341" max="3342" width="11.5703125" style="374" bestFit="1" customWidth="1"/>
    <col min="3343" max="3343" width="19.140625" style="374" customWidth="1"/>
    <col min="3344" max="3584" width="9.140625" style="374"/>
    <col min="3585" max="3585" width="21.140625" style="374" customWidth="1"/>
    <col min="3586" max="3586" width="15.140625" style="374" customWidth="1"/>
    <col min="3587" max="3592" width="11.42578125" style="374" customWidth="1"/>
    <col min="3593" max="3593" width="12" style="374" customWidth="1"/>
    <col min="3594" max="3594" width="27" style="374" customWidth="1"/>
    <col min="3595" max="3595" width="25.5703125" style="374" customWidth="1"/>
    <col min="3596" max="3596" width="10" style="374" customWidth="1"/>
    <col min="3597" max="3598" width="11.5703125" style="374" bestFit="1" customWidth="1"/>
    <col min="3599" max="3599" width="19.140625" style="374" customWidth="1"/>
    <col min="3600" max="3840" width="9.140625" style="374"/>
    <col min="3841" max="3841" width="21.140625" style="374" customWidth="1"/>
    <col min="3842" max="3842" width="15.140625" style="374" customWidth="1"/>
    <col min="3843" max="3848" width="11.42578125" style="374" customWidth="1"/>
    <col min="3849" max="3849" width="12" style="374" customWidth="1"/>
    <col min="3850" max="3850" width="27" style="374" customWidth="1"/>
    <col min="3851" max="3851" width="25.5703125" style="374" customWidth="1"/>
    <col min="3852" max="3852" width="10" style="374" customWidth="1"/>
    <col min="3853" max="3854" width="11.5703125" style="374" bestFit="1" customWidth="1"/>
    <col min="3855" max="3855" width="19.140625" style="374" customWidth="1"/>
    <col min="3856" max="4096" width="9.140625" style="374"/>
    <col min="4097" max="4097" width="21.140625" style="374" customWidth="1"/>
    <col min="4098" max="4098" width="15.140625" style="374" customWidth="1"/>
    <col min="4099" max="4104" width="11.42578125" style="374" customWidth="1"/>
    <col min="4105" max="4105" width="12" style="374" customWidth="1"/>
    <col min="4106" max="4106" width="27" style="374" customWidth="1"/>
    <col min="4107" max="4107" width="25.5703125" style="374" customWidth="1"/>
    <col min="4108" max="4108" width="10" style="374" customWidth="1"/>
    <col min="4109" max="4110" width="11.5703125" style="374" bestFit="1" customWidth="1"/>
    <col min="4111" max="4111" width="19.140625" style="374" customWidth="1"/>
    <col min="4112" max="4352" width="9.140625" style="374"/>
    <col min="4353" max="4353" width="21.140625" style="374" customWidth="1"/>
    <col min="4354" max="4354" width="15.140625" style="374" customWidth="1"/>
    <col min="4355" max="4360" width="11.42578125" style="374" customWidth="1"/>
    <col min="4361" max="4361" width="12" style="374" customWidth="1"/>
    <col min="4362" max="4362" width="27" style="374" customWidth="1"/>
    <col min="4363" max="4363" width="25.5703125" style="374" customWidth="1"/>
    <col min="4364" max="4364" width="10" style="374" customWidth="1"/>
    <col min="4365" max="4366" width="11.5703125" style="374" bestFit="1" customWidth="1"/>
    <col min="4367" max="4367" width="19.140625" style="374" customWidth="1"/>
    <col min="4368" max="4608" width="9.140625" style="374"/>
    <col min="4609" max="4609" width="21.140625" style="374" customWidth="1"/>
    <col min="4610" max="4610" width="15.140625" style="374" customWidth="1"/>
    <col min="4611" max="4616" width="11.42578125" style="374" customWidth="1"/>
    <col min="4617" max="4617" width="12" style="374" customWidth="1"/>
    <col min="4618" max="4618" width="27" style="374" customWidth="1"/>
    <col min="4619" max="4619" width="25.5703125" style="374" customWidth="1"/>
    <col min="4620" max="4620" width="10" style="374" customWidth="1"/>
    <col min="4621" max="4622" width="11.5703125" style="374" bestFit="1" customWidth="1"/>
    <col min="4623" max="4623" width="19.140625" style="374" customWidth="1"/>
    <col min="4624" max="4864" width="9.140625" style="374"/>
    <col min="4865" max="4865" width="21.140625" style="374" customWidth="1"/>
    <col min="4866" max="4866" width="15.140625" style="374" customWidth="1"/>
    <col min="4867" max="4872" width="11.42578125" style="374" customWidth="1"/>
    <col min="4873" max="4873" width="12" style="374" customWidth="1"/>
    <col min="4874" max="4874" width="27" style="374" customWidth="1"/>
    <col min="4875" max="4875" width="25.5703125" style="374" customWidth="1"/>
    <col min="4876" max="4876" width="10" style="374" customWidth="1"/>
    <col min="4877" max="4878" width="11.5703125" style="374" bestFit="1" customWidth="1"/>
    <col min="4879" max="4879" width="19.140625" style="374" customWidth="1"/>
    <col min="4880" max="5120" width="9.140625" style="374"/>
    <col min="5121" max="5121" width="21.140625" style="374" customWidth="1"/>
    <col min="5122" max="5122" width="15.140625" style="374" customWidth="1"/>
    <col min="5123" max="5128" width="11.42578125" style="374" customWidth="1"/>
    <col min="5129" max="5129" width="12" style="374" customWidth="1"/>
    <col min="5130" max="5130" width="27" style="374" customWidth="1"/>
    <col min="5131" max="5131" width="25.5703125" style="374" customWidth="1"/>
    <col min="5132" max="5132" width="10" style="374" customWidth="1"/>
    <col min="5133" max="5134" width="11.5703125" style="374" bestFit="1" customWidth="1"/>
    <col min="5135" max="5135" width="19.140625" style="374" customWidth="1"/>
    <col min="5136" max="5376" width="9.140625" style="374"/>
    <col min="5377" max="5377" width="21.140625" style="374" customWidth="1"/>
    <col min="5378" max="5378" width="15.140625" style="374" customWidth="1"/>
    <col min="5379" max="5384" width="11.42578125" style="374" customWidth="1"/>
    <col min="5385" max="5385" width="12" style="374" customWidth="1"/>
    <col min="5386" max="5386" width="27" style="374" customWidth="1"/>
    <col min="5387" max="5387" width="25.5703125" style="374" customWidth="1"/>
    <col min="5388" max="5388" width="10" style="374" customWidth="1"/>
    <col min="5389" max="5390" width="11.5703125" style="374" bestFit="1" customWidth="1"/>
    <col min="5391" max="5391" width="19.140625" style="374" customWidth="1"/>
    <col min="5392" max="5632" width="9.140625" style="374"/>
    <col min="5633" max="5633" width="21.140625" style="374" customWidth="1"/>
    <col min="5634" max="5634" width="15.140625" style="374" customWidth="1"/>
    <col min="5635" max="5640" width="11.42578125" style="374" customWidth="1"/>
    <col min="5641" max="5641" width="12" style="374" customWidth="1"/>
    <col min="5642" max="5642" width="27" style="374" customWidth="1"/>
    <col min="5643" max="5643" width="25.5703125" style="374" customWidth="1"/>
    <col min="5644" max="5644" width="10" style="374" customWidth="1"/>
    <col min="5645" max="5646" width="11.5703125" style="374" bestFit="1" customWidth="1"/>
    <col min="5647" max="5647" width="19.140625" style="374" customWidth="1"/>
    <col min="5648" max="5888" width="9.140625" style="374"/>
    <col min="5889" max="5889" width="21.140625" style="374" customWidth="1"/>
    <col min="5890" max="5890" width="15.140625" style="374" customWidth="1"/>
    <col min="5891" max="5896" width="11.42578125" style="374" customWidth="1"/>
    <col min="5897" max="5897" width="12" style="374" customWidth="1"/>
    <col min="5898" max="5898" width="27" style="374" customWidth="1"/>
    <col min="5899" max="5899" width="25.5703125" style="374" customWidth="1"/>
    <col min="5900" max="5900" width="10" style="374" customWidth="1"/>
    <col min="5901" max="5902" width="11.5703125" style="374" bestFit="1" customWidth="1"/>
    <col min="5903" max="5903" width="19.140625" style="374" customWidth="1"/>
    <col min="5904" max="6144" width="9.140625" style="374"/>
    <col min="6145" max="6145" width="21.140625" style="374" customWidth="1"/>
    <col min="6146" max="6146" width="15.140625" style="374" customWidth="1"/>
    <col min="6147" max="6152" width="11.42578125" style="374" customWidth="1"/>
    <col min="6153" max="6153" width="12" style="374" customWidth="1"/>
    <col min="6154" max="6154" width="27" style="374" customWidth="1"/>
    <col min="6155" max="6155" width="25.5703125" style="374" customWidth="1"/>
    <col min="6156" max="6156" width="10" style="374" customWidth="1"/>
    <col min="6157" max="6158" width="11.5703125" style="374" bestFit="1" customWidth="1"/>
    <col min="6159" max="6159" width="19.140625" style="374" customWidth="1"/>
    <col min="6160" max="6400" width="9.140625" style="374"/>
    <col min="6401" max="6401" width="21.140625" style="374" customWidth="1"/>
    <col min="6402" max="6402" width="15.140625" style="374" customWidth="1"/>
    <col min="6403" max="6408" width="11.42578125" style="374" customWidth="1"/>
    <col min="6409" max="6409" width="12" style="374" customWidth="1"/>
    <col min="6410" max="6410" width="27" style="374" customWidth="1"/>
    <col min="6411" max="6411" width="25.5703125" style="374" customWidth="1"/>
    <col min="6412" max="6412" width="10" style="374" customWidth="1"/>
    <col min="6413" max="6414" width="11.5703125" style="374" bestFit="1" customWidth="1"/>
    <col min="6415" max="6415" width="19.140625" style="374" customWidth="1"/>
    <col min="6416" max="6656" width="9.140625" style="374"/>
    <col min="6657" max="6657" width="21.140625" style="374" customWidth="1"/>
    <col min="6658" max="6658" width="15.140625" style="374" customWidth="1"/>
    <col min="6659" max="6664" width="11.42578125" style="374" customWidth="1"/>
    <col min="6665" max="6665" width="12" style="374" customWidth="1"/>
    <col min="6666" max="6666" width="27" style="374" customWidth="1"/>
    <col min="6667" max="6667" width="25.5703125" style="374" customWidth="1"/>
    <col min="6668" max="6668" width="10" style="374" customWidth="1"/>
    <col min="6669" max="6670" width="11.5703125" style="374" bestFit="1" customWidth="1"/>
    <col min="6671" max="6671" width="19.140625" style="374" customWidth="1"/>
    <col min="6672" max="6912" width="9.140625" style="374"/>
    <col min="6913" max="6913" width="21.140625" style="374" customWidth="1"/>
    <col min="6914" max="6914" width="15.140625" style="374" customWidth="1"/>
    <col min="6915" max="6920" width="11.42578125" style="374" customWidth="1"/>
    <col min="6921" max="6921" width="12" style="374" customWidth="1"/>
    <col min="6922" max="6922" width="27" style="374" customWidth="1"/>
    <col min="6923" max="6923" width="25.5703125" style="374" customWidth="1"/>
    <col min="6924" max="6924" width="10" style="374" customWidth="1"/>
    <col min="6925" max="6926" width="11.5703125" style="374" bestFit="1" customWidth="1"/>
    <col min="6927" max="6927" width="19.140625" style="374" customWidth="1"/>
    <col min="6928" max="7168" width="9.140625" style="374"/>
    <col min="7169" max="7169" width="21.140625" style="374" customWidth="1"/>
    <col min="7170" max="7170" width="15.140625" style="374" customWidth="1"/>
    <col min="7171" max="7176" width="11.42578125" style="374" customWidth="1"/>
    <col min="7177" max="7177" width="12" style="374" customWidth="1"/>
    <col min="7178" max="7178" width="27" style="374" customWidth="1"/>
    <col min="7179" max="7179" width="25.5703125" style="374" customWidth="1"/>
    <col min="7180" max="7180" width="10" style="374" customWidth="1"/>
    <col min="7181" max="7182" width="11.5703125" style="374" bestFit="1" customWidth="1"/>
    <col min="7183" max="7183" width="19.140625" style="374" customWidth="1"/>
    <col min="7184" max="7424" width="9.140625" style="374"/>
    <col min="7425" max="7425" width="21.140625" style="374" customWidth="1"/>
    <col min="7426" max="7426" width="15.140625" style="374" customWidth="1"/>
    <col min="7427" max="7432" width="11.42578125" style="374" customWidth="1"/>
    <col min="7433" max="7433" width="12" style="374" customWidth="1"/>
    <col min="7434" max="7434" width="27" style="374" customWidth="1"/>
    <col min="7435" max="7435" width="25.5703125" style="374" customWidth="1"/>
    <col min="7436" max="7436" width="10" style="374" customWidth="1"/>
    <col min="7437" max="7438" width="11.5703125" style="374" bestFit="1" customWidth="1"/>
    <col min="7439" max="7439" width="19.140625" style="374" customWidth="1"/>
    <col min="7440" max="7680" width="9.140625" style="374"/>
    <col min="7681" max="7681" width="21.140625" style="374" customWidth="1"/>
    <col min="7682" max="7682" width="15.140625" style="374" customWidth="1"/>
    <col min="7683" max="7688" width="11.42578125" style="374" customWidth="1"/>
    <col min="7689" max="7689" width="12" style="374" customWidth="1"/>
    <col min="7690" max="7690" width="27" style="374" customWidth="1"/>
    <col min="7691" max="7691" width="25.5703125" style="374" customWidth="1"/>
    <col min="7692" max="7692" width="10" style="374" customWidth="1"/>
    <col min="7693" max="7694" width="11.5703125" style="374" bestFit="1" customWidth="1"/>
    <col min="7695" max="7695" width="19.140625" style="374" customWidth="1"/>
    <col min="7696" max="7936" width="9.140625" style="374"/>
    <col min="7937" max="7937" width="21.140625" style="374" customWidth="1"/>
    <col min="7938" max="7938" width="15.140625" style="374" customWidth="1"/>
    <col min="7939" max="7944" width="11.42578125" style="374" customWidth="1"/>
    <col min="7945" max="7945" width="12" style="374" customWidth="1"/>
    <col min="7946" max="7946" width="27" style="374" customWidth="1"/>
    <col min="7947" max="7947" width="25.5703125" style="374" customWidth="1"/>
    <col min="7948" max="7948" width="10" style="374" customWidth="1"/>
    <col min="7949" max="7950" width="11.5703125" style="374" bestFit="1" customWidth="1"/>
    <col min="7951" max="7951" width="19.140625" style="374" customWidth="1"/>
    <col min="7952" max="8192" width="9.140625" style="374"/>
    <col min="8193" max="8193" width="21.140625" style="374" customWidth="1"/>
    <col min="8194" max="8194" width="15.140625" style="374" customWidth="1"/>
    <col min="8195" max="8200" width="11.42578125" style="374" customWidth="1"/>
    <col min="8201" max="8201" width="12" style="374" customWidth="1"/>
    <col min="8202" max="8202" width="27" style="374" customWidth="1"/>
    <col min="8203" max="8203" width="25.5703125" style="374" customWidth="1"/>
    <col min="8204" max="8204" width="10" style="374" customWidth="1"/>
    <col min="8205" max="8206" width="11.5703125" style="374" bestFit="1" customWidth="1"/>
    <col min="8207" max="8207" width="19.140625" style="374" customWidth="1"/>
    <col min="8208" max="8448" width="9.140625" style="374"/>
    <col min="8449" max="8449" width="21.140625" style="374" customWidth="1"/>
    <col min="8450" max="8450" width="15.140625" style="374" customWidth="1"/>
    <col min="8451" max="8456" width="11.42578125" style="374" customWidth="1"/>
    <col min="8457" max="8457" width="12" style="374" customWidth="1"/>
    <col min="8458" max="8458" width="27" style="374" customWidth="1"/>
    <col min="8459" max="8459" width="25.5703125" style="374" customWidth="1"/>
    <col min="8460" max="8460" width="10" style="374" customWidth="1"/>
    <col min="8461" max="8462" width="11.5703125" style="374" bestFit="1" customWidth="1"/>
    <col min="8463" max="8463" width="19.140625" style="374" customWidth="1"/>
    <col min="8464" max="8704" width="9.140625" style="374"/>
    <col min="8705" max="8705" width="21.140625" style="374" customWidth="1"/>
    <col min="8706" max="8706" width="15.140625" style="374" customWidth="1"/>
    <col min="8707" max="8712" width="11.42578125" style="374" customWidth="1"/>
    <col min="8713" max="8713" width="12" style="374" customWidth="1"/>
    <col min="8714" max="8714" width="27" style="374" customWidth="1"/>
    <col min="8715" max="8715" width="25.5703125" style="374" customWidth="1"/>
    <col min="8716" max="8716" width="10" style="374" customWidth="1"/>
    <col min="8717" max="8718" width="11.5703125" style="374" bestFit="1" customWidth="1"/>
    <col min="8719" max="8719" width="19.140625" style="374" customWidth="1"/>
    <col min="8720" max="8960" width="9.140625" style="374"/>
    <col min="8961" max="8961" width="21.140625" style="374" customWidth="1"/>
    <col min="8962" max="8962" width="15.140625" style="374" customWidth="1"/>
    <col min="8963" max="8968" width="11.42578125" style="374" customWidth="1"/>
    <col min="8969" max="8969" width="12" style="374" customWidth="1"/>
    <col min="8970" max="8970" width="27" style="374" customWidth="1"/>
    <col min="8971" max="8971" width="25.5703125" style="374" customWidth="1"/>
    <col min="8972" max="8972" width="10" style="374" customWidth="1"/>
    <col min="8973" max="8974" width="11.5703125" style="374" bestFit="1" customWidth="1"/>
    <col min="8975" max="8975" width="19.140625" style="374" customWidth="1"/>
    <col min="8976" max="9216" width="9.140625" style="374"/>
    <col min="9217" max="9217" width="21.140625" style="374" customWidth="1"/>
    <col min="9218" max="9218" width="15.140625" style="374" customWidth="1"/>
    <col min="9219" max="9224" width="11.42578125" style="374" customWidth="1"/>
    <col min="9225" max="9225" width="12" style="374" customWidth="1"/>
    <col min="9226" max="9226" width="27" style="374" customWidth="1"/>
    <col min="9227" max="9227" width="25.5703125" style="374" customWidth="1"/>
    <col min="9228" max="9228" width="10" style="374" customWidth="1"/>
    <col min="9229" max="9230" width="11.5703125" style="374" bestFit="1" customWidth="1"/>
    <col min="9231" max="9231" width="19.140625" style="374" customWidth="1"/>
    <col min="9232" max="9472" width="9.140625" style="374"/>
    <col min="9473" max="9473" width="21.140625" style="374" customWidth="1"/>
    <col min="9474" max="9474" width="15.140625" style="374" customWidth="1"/>
    <col min="9475" max="9480" width="11.42578125" style="374" customWidth="1"/>
    <col min="9481" max="9481" width="12" style="374" customWidth="1"/>
    <col min="9482" max="9482" width="27" style="374" customWidth="1"/>
    <col min="9483" max="9483" width="25.5703125" style="374" customWidth="1"/>
    <col min="9484" max="9484" width="10" style="374" customWidth="1"/>
    <col min="9485" max="9486" width="11.5703125" style="374" bestFit="1" customWidth="1"/>
    <col min="9487" max="9487" width="19.140625" style="374" customWidth="1"/>
    <col min="9488" max="9728" width="9.140625" style="374"/>
    <col min="9729" max="9729" width="21.140625" style="374" customWidth="1"/>
    <col min="9730" max="9730" width="15.140625" style="374" customWidth="1"/>
    <col min="9731" max="9736" width="11.42578125" style="374" customWidth="1"/>
    <col min="9737" max="9737" width="12" style="374" customWidth="1"/>
    <col min="9738" max="9738" width="27" style="374" customWidth="1"/>
    <col min="9739" max="9739" width="25.5703125" style="374" customWidth="1"/>
    <col min="9740" max="9740" width="10" style="374" customWidth="1"/>
    <col min="9741" max="9742" width="11.5703125" style="374" bestFit="1" customWidth="1"/>
    <col min="9743" max="9743" width="19.140625" style="374" customWidth="1"/>
    <col min="9744" max="9984" width="9.140625" style="374"/>
    <col min="9985" max="9985" width="21.140625" style="374" customWidth="1"/>
    <col min="9986" max="9986" width="15.140625" style="374" customWidth="1"/>
    <col min="9987" max="9992" width="11.42578125" style="374" customWidth="1"/>
    <col min="9993" max="9993" width="12" style="374" customWidth="1"/>
    <col min="9994" max="9994" width="27" style="374" customWidth="1"/>
    <col min="9995" max="9995" width="25.5703125" style="374" customWidth="1"/>
    <col min="9996" max="9996" width="10" style="374" customWidth="1"/>
    <col min="9997" max="9998" width="11.5703125" style="374" bestFit="1" customWidth="1"/>
    <col min="9999" max="9999" width="19.140625" style="374" customWidth="1"/>
    <col min="10000" max="10240" width="9.140625" style="374"/>
    <col min="10241" max="10241" width="21.140625" style="374" customWidth="1"/>
    <col min="10242" max="10242" width="15.140625" style="374" customWidth="1"/>
    <col min="10243" max="10248" width="11.42578125" style="374" customWidth="1"/>
    <col min="10249" max="10249" width="12" style="374" customWidth="1"/>
    <col min="10250" max="10250" width="27" style="374" customWidth="1"/>
    <col min="10251" max="10251" width="25.5703125" style="374" customWidth="1"/>
    <col min="10252" max="10252" width="10" style="374" customWidth="1"/>
    <col min="10253" max="10254" width="11.5703125" style="374" bestFit="1" customWidth="1"/>
    <col min="10255" max="10255" width="19.140625" style="374" customWidth="1"/>
    <col min="10256" max="10496" width="9.140625" style="374"/>
    <col min="10497" max="10497" width="21.140625" style="374" customWidth="1"/>
    <col min="10498" max="10498" width="15.140625" style="374" customWidth="1"/>
    <col min="10499" max="10504" width="11.42578125" style="374" customWidth="1"/>
    <col min="10505" max="10505" width="12" style="374" customWidth="1"/>
    <col min="10506" max="10506" width="27" style="374" customWidth="1"/>
    <col min="10507" max="10507" width="25.5703125" style="374" customWidth="1"/>
    <col min="10508" max="10508" width="10" style="374" customWidth="1"/>
    <col min="10509" max="10510" width="11.5703125" style="374" bestFit="1" customWidth="1"/>
    <col min="10511" max="10511" width="19.140625" style="374" customWidth="1"/>
    <col min="10512" max="10752" width="9.140625" style="374"/>
    <col min="10753" max="10753" width="21.140625" style="374" customWidth="1"/>
    <col min="10754" max="10754" width="15.140625" style="374" customWidth="1"/>
    <col min="10755" max="10760" width="11.42578125" style="374" customWidth="1"/>
    <col min="10761" max="10761" width="12" style="374" customWidth="1"/>
    <col min="10762" max="10762" width="27" style="374" customWidth="1"/>
    <col min="10763" max="10763" width="25.5703125" style="374" customWidth="1"/>
    <col min="10764" max="10764" width="10" style="374" customWidth="1"/>
    <col min="10765" max="10766" width="11.5703125" style="374" bestFit="1" customWidth="1"/>
    <col min="10767" max="10767" width="19.140625" style="374" customWidth="1"/>
    <col min="10768" max="11008" width="9.140625" style="374"/>
    <col min="11009" max="11009" width="21.140625" style="374" customWidth="1"/>
    <col min="11010" max="11010" width="15.140625" style="374" customWidth="1"/>
    <col min="11011" max="11016" width="11.42578125" style="374" customWidth="1"/>
    <col min="11017" max="11017" width="12" style="374" customWidth="1"/>
    <col min="11018" max="11018" width="27" style="374" customWidth="1"/>
    <col min="11019" max="11019" width="25.5703125" style="374" customWidth="1"/>
    <col min="11020" max="11020" width="10" style="374" customWidth="1"/>
    <col min="11021" max="11022" width="11.5703125" style="374" bestFit="1" customWidth="1"/>
    <col min="11023" max="11023" width="19.140625" style="374" customWidth="1"/>
    <col min="11024" max="11264" width="9.140625" style="374"/>
    <col min="11265" max="11265" width="21.140625" style="374" customWidth="1"/>
    <col min="11266" max="11266" width="15.140625" style="374" customWidth="1"/>
    <col min="11267" max="11272" width="11.42578125" style="374" customWidth="1"/>
    <col min="11273" max="11273" width="12" style="374" customWidth="1"/>
    <col min="11274" max="11274" width="27" style="374" customWidth="1"/>
    <col min="11275" max="11275" width="25.5703125" style="374" customWidth="1"/>
    <col min="11276" max="11276" width="10" style="374" customWidth="1"/>
    <col min="11277" max="11278" width="11.5703125" style="374" bestFit="1" customWidth="1"/>
    <col min="11279" max="11279" width="19.140625" style="374" customWidth="1"/>
    <col min="11280" max="11520" width="9.140625" style="374"/>
    <col min="11521" max="11521" width="21.140625" style="374" customWidth="1"/>
    <col min="11522" max="11522" width="15.140625" style="374" customWidth="1"/>
    <col min="11523" max="11528" width="11.42578125" style="374" customWidth="1"/>
    <col min="11529" max="11529" width="12" style="374" customWidth="1"/>
    <col min="11530" max="11530" width="27" style="374" customWidth="1"/>
    <col min="11531" max="11531" width="25.5703125" style="374" customWidth="1"/>
    <col min="11532" max="11532" width="10" style="374" customWidth="1"/>
    <col min="11533" max="11534" width="11.5703125" style="374" bestFit="1" customWidth="1"/>
    <col min="11535" max="11535" width="19.140625" style="374" customWidth="1"/>
    <col min="11536" max="11776" width="9.140625" style="374"/>
    <col min="11777" max="11777" width="21.140625" style="374" customWidth="1"/>
    <col min="11778" max="11778" width="15.140625" style="374" customWidth="1"/>
    <col min="11779" max="11784" width="11.42578125" style="374" customWidth="1"/>
    <col min="11785" max="11785" width="12" style="374" customWidth="1"/>
    <col min="11786" max="11786" width="27" style="374" customWidth="1"/>
    <col min="11787" max="11787" width="25.5703125" style="374" customWidth="1"/>
    <col min="11788" max="11788" width="10" style="374" customWidth="1"/>
    <col min="11789" max="11790" width="11.5703125" style="374" bestFit="1" customWidth="1"/>
    <col min="11791" max="11791" width="19.140625" style="374" customWidth="1"/>
    <col min="11792" max="12032" width="9.140625" style="374"/>
    <col min="12033" max="12033" width="21.140625" style="374" customWidth="1"/>
    <col min="12034" max="12034" width="15.140625" style="374" customWidth="1"/>
    <col min="12035" max="12040" width="11.42578125" style="374" customWidth="1"/>
    <col min="12041" max="12041" width="12" style="374" customWidth="1"/>
    <col min="12042" max="12042" width="27" style="374" customWidth="1"/>
    <col min="12043" max="12043" width="25.5703125" style="374" customWidth="1"/>
    <col min="12044" max="12044" width="10" style="374" customWidth="1"/>
    <col min="12045" max="12046" width="11.5703125" style="374" bestFit="1" customWidth="1"/>
    <col min="12047" max="12047" width="19.140625" style="374" customWidth="1"/>
    <col min="12048" max="12288" width="9.140625" style="374"/>
    <col min="12289" max="12289" width="21.140625" style="374" customWidth="1"/>
    <col min="12290" max="12290" width="15.140625" style="374" customWidth="1"/>
    <col min="12291" max="12296" width="11.42578125" style="374" customWidth="1"/>
    <col min="12297" max="12297" width="12" style="374" customWidth="1"/>
    <col min="12298" max="12298" width="27" style="374" customWidth="1"/>
    <col min="12299" max="12299" width="25.5703125" style="374" customWidth="1"/>
    <col min="12300" max="12300" width="10" style="374" customWidth="1"/>
    <col min="12301" max="12302" width="11.5703125" style="374" bestFit="1" customWidth="1"/>
    <col min="12303" max="12303" width="19.140625" style="374" customWidth="1"/>
    <col min="12304" max="12544" width="9.140625" style="374"/>
    <col min="12545" max="12545" width="21.140625" style="374" customWidth="1"/>
    <col min="12546" max="12546" width="15.140625" style="374" customWidth="1"/>
    <col min="12547" max="12552" width="11.42578125" style="374" customWidth="1"/>
    <col min="12553" max="12553" width="12" style="374" customWidth="1"/>
    <col min="12554" max="12554" width="27" style="374" customWidth="1"/>
    <col min="12555" max="12555" width="25.5703125" style="374" customWidth="1"/>
    <col min="12556" max="12556" width="10" style="374" customWidth="1"/>
    <col min="12557" max="12558" width="11.5703125" style="374" bestFit="1" customWidth="1"/>
    <col min="12559" max="12559" width="19.140625" style="374" customWidth="1"/>
    <col min="12560" max="12800" width="9.140625" style="374"/>
    <col min="12801" max="12801" width="21.140625" style="374" customWidth="1"/>
    <col min="12802" max="12802" width="15.140625" style="374" customWidth="1"/>
    <col min="12803" max="12808" width="11.42578125" style="374" customWidth="1"/>
    <col min="12809" max="12809" width="12" style="374" customWidth="1"/>
    <col min="12810" max="12810" width="27" style="374" customWidth="1"/>
    <col min="12811" max="12811" width="25.5703125" style="374" customWidth="1"/>
    <col min="12812" max="12812" width="10" style="374" customWidth="1"/>
    <col min="12813" max="12814" width="11.5703125" style="374" bestFit="1" customWidth="1"/>
    <col min="12815" max="12815" width="19.140625" style="374" customWidth="1"/>
    <col min="12816" max="13056" width="9.140625" style="374"/>
    <col min="13057" max="13057" width="21.140625" style="374" customWidth="1"/>
    <col min="13058" max="13058" width="15.140625" style="374" customWidth="1"/>
    <col min="13059" max="13064" width="11.42578125" style="374" customWidth="1"/>
    <col min="13065" max="13065" width="12" style="374" customWidth="1"/>
    <col min="13066" max="13066" width="27" style="374" customWidth="1"/>
    <col min="13067" max="13067" width="25.5703125" style="374" customWidth="1"/>
    <col min="13068" max="13068" width="10" style="374" customWidth="1"/>
    <col min="13069" max="13070" width="11.5703125" style="374" bestFit="1" customWidth="1"/>
    <col min="13071" max="13071" width="19.140625" style="374" customWidth="1"/>
    <col min="13072" max="13312" width="9.140625" style="374"/>
    <col min="13313" max="13313" width="21.140625" style="374" customWidth="1"/>
    <col min="13314" max="13314" width="15.140625" style="374" customWidth="1"/>
    <col min="13315" max="13320" width="11.42578125" style="374" customWidth="1"/>
    <col min="13321" max="13321" width="12" style="374" customWidth="1"/>
    <col min="13322" max="13322" width="27" style="374" customWidth="1"/>
    <col min="13323" max="13323" width="25.5703125" style="374" customWidth="1"/>
    <col min="13324" max="13324" width="10" style="374" customWidth="1"/>
    <col min="13325" max="13326" width="11.5703125" style="374" bestFit="1" customWidth="1"/>
    <col min="13327" max="13327" width="19.140625" style="374" customWidth="1"/>
    <col min="13328" max="13568" width="9.140625" style="374"/>
    <col min="13569" max="13569" width="21.140625" style="374" customWidth="1"/>
    <col min="13570" max="13570" width="15.140625" style="374" customWidth="1"/>
    <col min="13571" max="13576" width="11.42578125" style="374" customWidth="1"/>
    <col min="13577" max="13577" width="12" style="374" customWidth="1"/>
    <col min="13578" max="13578" width="27" style="374" customWidth="1"/>
    <col min="13579" max="13579" width="25.5703125" style="374" customWidth="1"/>
    <col min="13580" max="13580" width="10" style="374" customWidth="1"/>
    <col min="13581" max="13582" width="11.5703125" style="374" bestFit="1" customWidth="1"/>
    <col min="13583" max="13583" width="19.140625" style="374" customWidth="1"/>
    <col min="13584" max="13824" width="9.140625" style="374"/>
    <col min="13825" max="13825" width="21.140625" style="374" customWidth="1"/>
    <col min="13826" max="13826" width="15.140625" style="374" customWidth="1"/>
    <col min="13827" max="13832" width="11.42578125" style="374" customWidth="1"/>
    <col min="13833" max="13833" width="12" style="374" customWidth="1"/>
    <col min="13834" max="13834" width="27" style="374" customWidth="1"/>
    <col min="13835" max="13835" width="25.5703125" style="374" customWidth="1"/>
    <col min="13836" max="13836" width="10" style="374" customWidth="1"/>
    <col min="13837" max="13838" width="11.5703125" style="374" bestFit="1" customWidth="1"/>
    <col min="13839" max="13839" width="19.140625" style="374" customWidth="1"/>
    <col min="13840" max="14080" width="9.140625" style="374"/>
    <col min="14081" max="14081" width="21.140625" style="374" customWidth="1"/>
    <col min="14082" max="14082" width="15.140625" style="374" customWidth="1"/>
    <col min="14083" max="14088" width="11.42578125" style="374" customWidth="1"/>
    <col min="14089" max="14089" width="12" style="374" customWidth="1"/>
    <col min="14090" max="14090" width="27" style="374" customWidth="1"/>
    <col min="14091" max="14091" width="25.5703125" style="374" customWidth="1"/>
    <col min="14092" max="14092" width="10" style="374" customWidth="1"/>
    <col min="14093" max="14094" width="11.5703125" style="374" bestFit="1" customWidth="1"/>
    <col min="14095" max="14095" width="19.140625" style="374" customWidth="1"/>
    <col min="14096" max="14336" width="9.140625" style="374"/>
    <col min="14337" max="14337" width="21.140625" style="374" customWidth="1"/>
    <col min="14338" max="14338" width="15.140625" style="374" customWidth="1"/>
    <col min="14339" max="14344" width="11.42578125" style="374" customWidth="1"/>
    <col min="14345" max="14345" width="12" style="374" customWidth="1"/>
    <col min="14346" max="14346" width="27" style="374" customWidth="1"/>
    <col min="14347" max="14347" width="25.5703125" style="374" customWidth="1"/>
    <col min="14348" max="14348" width="10" style="374" customWidth="1"/>
    <col min="14349" max="14350" width="11.5703125" style="374" bestFit="1" customWidth="1"/>
    <col min="14351" max="14351" width="19.140625" style="374" customWidth="1"/>
    <col min="14352" max="14592" width="9.140625" style="374"/>
    <col min="14593" max="14593" width="21.140625" style="374" customWidth="1"/>
    <col min="14594" max="14594" width="15.140625" style="374" customWidth="1"/>
    <col min="14595" max="14600" width="11.42578125" style="374" customWidth="1"/>
    <col min="14601" max="14601" width="12" style="374" customWidth="1"/>
    <col min="14602" max="14602" width="27" style="374" customWidth="1"/>
    <col min="14603" max="14603" width="25.5703125" style="374" customWidth="1"/>
    <col min="14604" max="14604" width="10" style="374" customWidth="1"/>
    <col min="14605" max="14606" width="11.5703125" style="374" bestFit="1" customWidth="1"/>
    <col min="14607" max="14607" width="19.140625" style="374" customWidth="1"/>
    <col min="14608" max="14848" width="9.140625" style="374"/>
    <col min="14849" max="14849" width="21.140625" style="374" customWidth="1"/>
    <col min="14850" max="14850" width="15.140625" style="374" customWidth="1"/>
    <col min="14851" max="14856" width="11.42578125" style="374" customWidth="1"/>
    <col min="14857" max="14857" width="12" style="374" customWidth="1"/>
    <col min="14858" max="14858" width="27" style="374" customWidth="1"/>
    <col min="14859" max="14859" width="25.5703125" style="374" customWidth="1"/>
    <col min="14860" max="14860" width="10" style="374" customWidth="1"/>
    <col min="14861" max="14862" width="11.5703125" style="374" bestFit="1" customWidth="1"/>
    <col min="14863" max="14863" width="19.140625" style="374" customWidth="1"/>
    <col min="14864" max="15104" width="9.140625" style="374"/>
    <col min="15105" max="15105" width="21.140625" style="374" customWidth="1"/>
    <col min="15106" max="15106" width="15.140625" style="374" customWidth="1"/>
    <col min="15107" max="15112" width="11.42578125" style="374" customWidth="1"/>
    <col min="15113" max="15113" width="12" style="374" customWidth="1"/>
    <col min="15114" max="15114" width="27" style="374" customWidth="1"/>
    <col min="15115" max="15115" width="25.5703125" style="374" customWidth="1"/>
    <col min="15116" max="15116" width="10" style="374" customWidth="1"/>
    <col min="15117" max="15118" width="11.5703125" style="374" bestFit="1" customWidth="1"/>
    <col min="15119" max="15119" width="19.140625" style="374" customWidth="1"/>
    <col min="15120" max="15360" width="9.140625" style="374"/>
    <col min="15361" max="15361" width="21.140625" style="374" customWidth="1"/>
    <col min="15362" max="15362" width="15.140625" style="374" customWidth="1"/>
    <col min="15363" max="15368" width="11.42578125" style="374" customWidth="1"/>
    <col min="15369" max="15369" width="12" style="374" customWidth="1"/>
    <col min="15370" max="15370" width="27" style="374" customWidth="1"/>
    <col min="15371" max="15371" width="25.5703125" style="374" customWidth="1"/>
    <col min="15372" max="15372" width="10" style="374" customWidth="1"/>
    <col min="15373" max="15374" width="11.5703125" style="374" bestFit="1" customWidth="1"/>
    <col min="15375" max="15375" width="19.140625" style="374" customWidth="1"/>
    <col min="15376" max="15616" width="9.140625" style="374"/>
    <col min="15617" max="15617" width="21.140625" style="374" customWidth="1"/>
    <col min="15618" max="15618" width="15.140625" style="374" customWidth="1"/>
    <col min="15619" max="15624" width="11.42578125" style="374" customWidth="1"/>
    <col min="15625" max="15625" width="12" style="374" customWidth="1"/>
    <col min="15626" max="15626" width="27" style="374" customWidth="1"/>
    <col min="15627" max="15627" width="25.5703125" style="374" customWidth="1"/>
    <col min="15628" max="15628" width="10" style="374" customWidth="1"/>
    <col min="15629" max="15630" width="11.5703125" style="374" bestFit="1" customWidth="1"/>
    <col min="15631" max="15631" width="19.140625" style="374" customWidth="1"/>
    <col min="15632" max="15872" width="9.140625" style="374"/>
    <col min="15873" max="15873" width="21.140625" style="374" customWidth="1"/>
    <col min="15874" max="15874" width="15.140625" style="374" customWidth="1"/>
    <col min="15875" max="15880" width="11.42578125" style="374" customWidth="1"/>
    <col min="15881" max="15881" width="12" style="374" customWidth="1"/>
    <col min="15882" max="15882" width="27" style="374" customWidth="1"/>
    <col min="15883" max="15883" width="25.5703125" style="374" customWidth="1"/>
    <col min="15884" max="15884" width="10" style="374" customWidth="1"/>
    <col min="15885" max="15886" width="11.5703125" style="374" bestFit="1" customWidth="1"/>
    <col min="15887" max="15887" width="19.140625" style="374" customWidth="1"/>
    <col min="15888" max="16128" width="9.140625" style="374"/>
    <col min="16129" max="16129" width="21.140625" style="374" customWidth="1"/>
    <col min="16130" max="16130" width="15.140625" style="374" customWidth="1"/>
    <col min="16131" max="16136" width="11.42578125" style="374" customWidth="1"/>
    <col min="16137" max="16137" width="12" style="374" customWidth="1"/>
    <col min="16138" max="16138" width="27" style="374" customWidth="1"/>
    <col min="16139" max="16139" width="25.5703125" style="374" customWidth="1"/>
    <col min="16140" max="16140" width="10" style="374" customWidth="1"/>
    <col min="16141" max="16142" width="11.5703125" style="374" bestFit="1" customWidth="1"/>
    <col min="16143" max="16143" width="19.140625" style="374" customWidth="1"/>
    <col min="16144" max="16384" width="9.140625" style="374"/>
  </cols>
  <sheetData>
    <row r="1" spans="1:15" ht="28.5" hidden="1" customHeight="1">
      <c r="A1" s="586" t="s">
        <v>1731</v>
      </c>
      <c r="B1" s="586" t="s">
        <v>1732</v>
      </c>
      <c r="C1" s="586" t="s">
        <v>1733</v>
      </c>
      <c r="F1" s="586" t="s">
        <v>117</v>
      </c>
      <c r="G1" s="586" t="s">
        <v>116</v>
      </c>
      <c r="K1" s="643" t="str">
        <f>Calc!K1</f>
        <v>Drives</v>
      </c>
      <c r="L1" s="643" t="str">
        <f>Calc!L1</f>
        <v>AC-Voltage</v>
      </c>
      <c r="M1" s="643" t="str">
        <f>Calc!M1</f>
        <v>Icont</v>
      </c>
      <c r="N1" s="643" t="str">
        <f>Calc!N1</f>
        <v>Ipeak</v>
      </c>
      <c r="O1" s="643" t="str">
        <f>Calc!O1</f>
        <v>SFD 
Unterstützung?</v>
      </c>
    </row>
    <row r="2" spans="1:15" hidden="1">
      <c r="A2" s="586" t="s">
        <v>571</v>
      </c>
      <c r="B2" s="586" t="str">
        <f>Calc!B2</f>
        <v>max.</v>
      </c>
      <c r="C2" s="630">
        <f ca="1">Calc!C2</f>
        <v>320</v>
      </c>
      <c r="E2" s="631">
        <v>2</v>
      </c>
      <c r="F2" s="631">
        <f>75/SQRT(2)</f>
        <v>53.033008588991059</v>
      </c>
      <c r="G2" s="631">
        <v>75</v>
      </c>
      <c r="H2" s="633"/>
      <c r="I2" s="633"/>
      <c r="J2" s="633"/>
      <c r="K2" s="643" t="str">
        <f>Calc!K2</f>
        <v>Servostar 303</v>
      </c>
      <c r="L2" s="643">
        <f>Calc!L2</f>
        <v>230</v>
      </c>
      <c r="M2" s="643">
        <f>Calc!M2</f>
        <v>3</v>
      </c>
      <c r="N2" s="643">
        <f>Calc!N2</f>
        <v>9</v>
      </c>
      <c r="O2" s="643" t="str">
        <f>Calc!O2</f>
        <v>Nein</v>
      </c>
    </row>
    <row r="3" spans="1:15" hidden="1">
      <c r="E3" s="631"/>
      <c r="F3" s="631">
        <f>160/SQRT(2)</f>
        <v>113.13708498984759</v>
      </c>
      <c r="G3" s="631">
        <v>160</v>
      </c>
      <c r="H3" s="633"/>
      <c r="I3" s="633"/>
      <c r="J3" s="633"/>
      <c r="K3" s="643" t="str">
        <f>Calc!K3</f>
        <v>Servostar 306</v>
      </c>
      <c r="L3" s="643">
        <f>Calc!L3</f>
        <v>230</v>
      </c>
      <c r="M3" s="643">
        <f>Calc!M3</f>
        <v>6</v>
      </c>
      <c r="N3" s="643">
        <f>Calc!N3</f>
        <v>15</v>
      </c>
      <c r="O3" s="643" t="str">
        <f>Calc!O3</f>
        <v>Nein</v>
      </c>
    </row>
    <row r="4" spans="1:15" hidden="1">
      <c r="E4" s="631"/>
      <c r="F4" s="631">
        <f>320/SQRT(2)</f>
        <v>226.27416997969519</v>
      </c>
      <c r="G4" s="631">
        <v>320</v>
      </c>
      <c r="H4" s="633"/>
      <c r="I4" s="633"/>
      <c r="J4" s="633"/>
      <c r="K4" s="643" t="str">
        <f>Calc!K4</f>
        <v>Servostar 310</v>
      </c>
      <c r="L4" s="643">
        <f>Calc!L4</f>
        <v>230</v>
      </c>
      <c r="M4" s="643">
        <f>Calc!M4</f>
        <v>10</v>
      </c>
      <c r="N4" s="643">
        <f>Calc!N4</f>
        <v>20</v>
      </c>
      <c r="O4" s="643" t="str">
        <f>Calc!O4</f>
        <v>Nein</v>
      </c>
    </row>
    <row r="5" spans="1:15" hidden="1">
      <c r="E5" s="631"/>
      <c r="F5" s="631">
        <f>560/SQRT(2)</f>
        <v>395.97979746446657</v>
      </c>
      <c r="G5" s="632">
        <v>560</v>
      </c>
      <c r="H5" s="633"/>
      <c r="I5" s="633"/>
      <c r="J5" s="633"/>
      <c r="K5" s="643" t="str">
        <f>Calc!K5</f>
        <v>Servostar 341</v>
      </c>
      <c r="L5" s="643">
        <f>Calc!L5</f>
        <v>480</v>
      </c>
      <c r="M5" s="643">
        <f>Calc!M5</f>
        <v>1.5</v>
      </c>
      <c r="N5" s="643">
        <f>Calc!N5</f>
        <v>4.5</v>
      </c>
      <c r="O5" s="643" t="str">
        <f>Calc!O5</f>
        <v>Nein</v>
      </c>
    </row>
    <row r="6" spans="1:15" hidden="1">
      <c r="E6" s="631"/>
      <c r="F6" s="631">
        <f>640/SQRT(2)</f>
        <v>452.54833995939038</v>
      </c>
      <c r="G6" s="632">
        <v>640</v>
      </c>
      <c r="H6" s="633"/>
      <c r="I6" s="633"/>
      <c r="J6" s="633"/>
      <c r="K6" s="643" t="str">
        <f>Calc!K6</f>
        <v>Servostar 343</v>
      </c>
      <c r="L6" s="643">
        <f>Calc!L6</f>
        <v>480</v>
      </c>
      <c r="M6" s="643">
        <f>Calc!M6</f>
        <v>3</v>
      </c>
      <c r="N6" s="643">
        <f>Calc!N6</f>
        <v>7.5</v>
      </c>
      <c r="O6" s="643" t="str">
        <f>Calc!O6</f>
        <v>Nein</v>
      </c>
    </row>
    <row r="7" spans="1:15" hidden="1">
      <c r="K7" s="643" t="str">
        <f>Calc!K7</f>
        <v>Servostar 346</v>
      </c>
      <c r="L7" s="643">
        <f>Calc!L7</f>
        <v>480</v>
      </c>
      <c r="M7" s="643">
        <f>Calc!M7</f>
        <v>6</v>
      </c>
      <c r="N7" s="643">
        <f>Calc!N7</f>
        <v>12</v>
      </c>
      <c r="O7" s="643" t="str">
        <f>Calc!O7</f>
        <v>Nein</v>
      </c>
    </row>
    <row r="8" spans="1:15" hidden="1">
      <c r="A8" s="586" t="s">
        <v>111</v>
      </c>
      <c r="K8" s="643" t="str">
        <f>Calc!K8</f>
        <v>Servostar 403M/A</v>
      </c>
      <c r="L8" s="643">
        <f>Calc!L8</f>
        <v>230</v>
      </c>
      <c r="M8" s="643">
        <f>Calc!M8</f>
        <v>3</v>
      </c>
      <c r="N8" s="643">
        <f>Calc!N8</f>
        <v>9</v>
      </c>
      <c r="O8" s="643" t="str">
        <f>Calc!O8</f>
        <v>Nein</v>
      </c>
    </row>
    <row r="9" spans="1:15" hidden="1">
      <c r="A9" s="631" t="s">
        <v>1748</v>
      </c>
      <c r="B9" s="631" t="s">
        <v>1749</v>
      </c>
      <c r="C9" s="631" t="s">
        <v>1750</v>
      </c>
      <c r="D9" s="631" t="s">
        <v>1751</v>
      </c>
      <c r="E9" s="631" t="s">
        <v>1752</v>
      </c>
      <c r="F9" s="632" t="s">
        <v>1753</v>
      </c>
      <c r="G9" s="632" t="s">
        <v>1754</v>
      </c>
      <c r="H9" s="632" t="s">
        <v>1755</v>
      </c>
      <c r="I9" s="632" t="s">
        <v>1756</v>
      </c>
      <c r="K9" s="643" t="str">
        <f>Calc!K9</f>
        <v>Servostar 406M/A</v>
      </c>
      <c r="L9" s="643">
        <f>Calc!L9</f>
        <v>230</v>
      </c>
      <c r="M9" s="643">
        <f>Calc!M9</f>
        <v>6</v>
      </c>
      <c r="N9" s="643">
        <f>Calc!N9</f>
        <v>12</v>
      </c>
      <c r="O9" s="643" t="str">
        <f>Calc!O9</f>
        <v>Nein</v>
      </c>
    </row>
    <row r="10" spans="1:15" hidden="1">
      <c r="A10" s="631">
        <f>VLOOKUP($A$2,Motor!$A$9:$U$1219,18,FALSE)</f>
        <v>1</v>
      </c>
      <c r="B10" s="631">
        <f>VLOOKUP($A$2,Motor!$A$9:$U$1219,19,FALSE)</f>
        <v>5.7</v>
      </c>
      <c r="C10" s="631">
        <f>VLOOKUP($A$2,Motor!$A$9:$U$1219,20,FALSE)</f>
        <v>79.8</v>
      </c>
      <c r="D10" s="631">
        <f>VLOOKUP($A$2,Motor!$A$9:$U$1219,3,FALSE)</f>
        <v>28.2</v>
      </c>
      <c r="E10" s="631">
        <f>VLOOKUP($A$2,Motor!$A$9:$U$1219,21,FALSE)</f>
        <v>10</v>
      </c>
      <c r="F10" s="631">
        <f>VLOOKUP($A$2,Motor!$A$9:$U$1219,16,FALSE)</f>
        <v>6000</v>
      </c>
      <c r="G10" s="631">
        <f>VLOOKUP($A$2,Motor!$A$9:$U$1219,4,FALSE)</f>
        <v>11.6</v>
      </c>
      <c r="H10" s="631">
        <f>VLOOKUP($A$2,Motor!$A$9:$U$1219,5,FALSE)</f>
        <v>9.4</v>
      </c>
      <c r="I10" s="631">
        <f>VLOOKUP($A$2,Motor!$A$9:$U$1219,2,FALSE)</f>
        <v>30.3</v>
      </c>
      <c r="K10" s="643" t="str">
        <f>Calc!K10</f>
        <v>Servostar 443M/403A</v>
      </c>
      <c r="L10" s="643">
        <f>Calc!L10</f>
        <v>400</v>
      </c>
      <c r="M10" s="643">
        <f>Calc!M10</f>
        <v>3</v>
      </c>
      <c r="N10" s="643">
        <f>Calc!N10</f>
        <v>9</v>
      </c>
      <c r="O10" s="643" t="str">
        <f>Calc!O10</f>
        <v>Nein</v>
      </c>
    </row>
    <row r="11" spans="1:15" hidden="1">
      <c r="A11" s="586" t="s">
        <v>1759</v>
      </c>
      <c r="G11" s="586">
        <f>G10/H10</f>
        <v>1.2340425531914894</v>
      </c>
      <c r="I11" s="586">
        <f>I10/D10</f>
        <v>1.074468085106383</v>
      </c>
      <c r="K11" s="643" t="str">
        <f>Calc!K11</f>
        <v>Servostar 446M/406A</v>
      </c>
      <c r="L11" s="643">
        <f>Calc!L11</f>
        <v>400</v>
      </c>
      <c r="M11" s="643">
        <f>Calc!M11</f>
        <v>6</v>
      </c>
      <c r="N11" s="643">
        <f>Calc!N11</f>
        <v>12</v>
      </c>
      <c r="O11" s="643" t="str">
        <f>Calc!O11</f>
        <v>Nein</v>
      </c>
    </row>
    <row r="12" spans="1:15" hidden="1">
      <c r="A12" s="631" t="s">
        <v>1761</v>
      </c>
      <c r="B12" s="631" t="s">
        <v>1762</v>
      </c>
      <c r="K12" s="643" t="str">
        <f>Calc!K12</f>
        <v>Servostar 601</v>
      </c>
      <c r="L12" s="643">
        <f>Calc!L12</f>
        <v>480</v>
      </c>
      <c r="M12" s="643">
        <f>Calc!M12</f>
        <v>1.5</v>
      </c>
      <c r="N12" s="643">
        <f>Calc!N12</f>
        <v>3</v>
      </c>
      <c r="O12" s="643" t="str">
        <f>Calc!O12</f>
        <v>Nein</v>
      </c>
    </row>
    <row r="13" spans="1:15" hidden="1">
      <c r="A13" s="631">
        <f>VALUE(VLOOKUP($B$2,$K$2:$N$43,4,FALSE))</f>
        <v>1000</v>
      </c>
      <c r="B13" s="631">
        <f>VALUE(VLOOKUP($B$2,$K$2:$N$43,3,FALSE))</f>
        <v>1000</v>
      </c>
      <c r="K13" s="643" t="str">
        <f>Calc!K13</f>
        <v>Servostar 603</v>
      </c>
      <c r="L13" s="643">
        <f>Calc!L13</f>
        <v>480</v>
      </c>
      <c r="M13" s="643">
        <f>Calc!M13</f>
        <v>3</v>
      </c>
      <c r="N13" s="643">
        <f>Calc!N13</f>
        <v>6</v>
      </c>
      <c r="O13" s="643" t="str">
        <f>Calc!O13</f>
        <v>Nein</v>
      </c>
    </row>
    <row r="14" spans="1:15" hidden="1">
      <c r="A14" s="631">
        <f>VALUE(VLOOKUP($B$2,$K$2:$N$43,4,FALSE))</f>
        <v>1000</v>
      </c>
      <c r="K14" s="643" t="str">
        <f>Calc!K14</f>
        <v>Servostar 606</v>
      </c>
      <c r="L14" s="643">
        <f>Calc!L14</f>
        <v>480</v>
      </c>
      <c r="M14" s="643">
        <f>Calc!M14</f>
        <v>6</v>
      </c>
      <c r="N14" s="643">
        <f>Calc!N14</f>
        <v>12</v>
      </c>
      <c r="O14" s="643" t="str">
        <f>Calc!O14</f>
        <v>Nein</v>
      </c>
    </row>
    <row r="15" spans="1:15" hidden="1">
      <c r="K15" s="643" t="str">
        <f>Calc!K15</f>
        <v>Servostar 610</v>
      </c>
      <c r="L15" s="643">
        <f>Calc!L15</f>
        <v>480</v>
      </c>
      <c r="M15" s="643">
        <f>Calc!M15</f>
        <v>10</v>
      </c>
      <c r="N15" s="643">
        <f>Calc!N15</f>
        <v>20</v>
      </c>
      <c r="O15" s="643" t="str">
        <f>Calc!O15</f>
        <v>Nein</v>
      </c>
    </row>
    <row r="16" spans="1:15" hidden="1">
      <c r="K16" s="643" t="str">
        <f>Calc!K16</f>
        <v>Servostar 610/30</v>
      </c>
      <c r="L16" s="643">
        <f>Calc!L16</f>
        <v>480</v>
      </c>
      <c r="M16" s="643">
        <f>Calc!M16</f>
        <v>10</v>
      </c>
      <c r="N16" s="643">
        <f>Calc!N16</f>
        <v>30</v>
      </c>
      <c r="O16" s="643" t="str">
        <f>Calc!O16</f>
        <v>Nein</v>
      </c>
    </row>
    <row r="17" spans="1:15" hidden="1">
      <c r="K17" s="643" t="str">
        <f>Calc!K17</f>
        <v>Servostar 614</v>
      </c>
      <c r="L17" s="643">
        <f>Calc!L17</f>
        <v>480</v>
      </c>
      <c r="M17" s="643">
        <f>Calc!M17</f>
        <v>14</v>
      </c>
      <c r="N17" s="643">
        <f>Calc!N17</f>
        <v>28</v>
      </c>
      <c r="O17" s="643" t="str">
        <f>Calc!O17</f>
        <v>Nein</v>
      </c>
    </row>
    <row r="18" spans="1:15" hidden="1">
      <c r="A18" s="586" t="s">
        <v>1769</v>
      </c>
      <c r="K18" s="643" t="str">
        <f>Calc!K18</f>
        <v>Servostar 620</v>
      </c>
      <c r="L18" s="643">
        <f>Calc!L18</f>
        <v>480</v>
      </c>
      <c r="M18" s="643">
        <f>Calc!M18</f>
        <v>20</v>
      </c>
      <c r="N18" s="643">
        <f>Calc!N18</f>
        <v>40</v>
      </c>
      <c r="O18" s="643" t="str">
        <f>Calc!O18</f>
        <v>Nein</v>
      </c>
    </row>
    <row r="19" spans="1:15" hidden="1">
      <c r="A19" s="586" t="s">
        <v>1771</v>
      </c>
      <c r="B19" s="586" t="s">
        <v>1772</v>
      </c>
      <c r="C19" s="586" t="s">
        <v>1773</v>
      </c>
      <c r="D19" s="586" t="s">
        <v>1774</v>
      </c>
      <c r="E19" s="586" t="s">
        <v>1775</v>
      </c>
      <c r="F19" s="586" t="s">
        <v>51</v>
      </c>
      <c r="G19" s="586" t="s">
        <v>1738</v>
      </c>
      <c r="H19" s="586" t="s">
        <v>1776</v>
      </c>
      <c r="K19" s="643" t="str">
        <f>Calc!K19</f>
        <v>Servostar 640</v>
      </c>
      <c r="L19" s="643">
        <f>Calc!L19</f>
        <v>480</v>
      </c>
      <c r="M19" s="643">
        <f>Calc!M19</f>
        <v>40</v>
      </c>
      <c r="N19" s="643">
        <f>Calc!N19</f>
        <v>80</v>
      </c>
      <c r="O19" s="643" t="str">
        <f>Calc!O19</f>
        <v>Nein</v>
      </c>
    </row>
    <row r="20" spans="1:15" hidden="1">
      <c r="A20" s="631">
        <f>A21</f>
        <v>30.3</v>
      </c>
      <c r="B20" s="631">
        <v>0</v>
      </c>
      <c r="K20" s="643" t="str">
        <f>Calc!K20</f>
        <v>Servostar 670</v>
      </c>
      <c r="L20" s="643">
        <f>Calc!L20</f>
        <v>480</v>
      </c>
      <c r="M20" s="643">
        <f>Calc!M20</f>
        <v>70</v>
      </c>
      <c r="N20" s="643">
        <f>Calc!N20</f>
        <v>140</v>
      </c>
      <c r="O20" s="643" t="str">
        <f>Calc!O20</f>
        <v>Nein</v>
      </c>
    </row>
    <row r="21" spans="1:15" hidden="1">
      <c r="A21" s="631">
        <f t="shared" ref="A21:A70" si="0">G21*($G$10/$H$10-($G$10/$H$10-$I$10/$D$10)/$D$10*G21)</f>
        <v>30.3</v>
      </c>
      <c r="B21" s="631">
        <f ca="1">MAX(MIN(F21,$F$10),0)</f>
        <v>1879.3</v>
      </c>
      <c r="C21" s="641">
        <f t="shared" ref="C21:C71" si="1">($C$10^2)/1000000+(($B$10/1000)^2*G21^2*PI()*PI()*($E$10/2)^2)/1200</f>
        <v>1.1680631658029907E-2</v>
      </c>
      <c r="D21" s="641">
        <f t="shared" ref="D21:D71" si="2">SQRT(3)*$C$10*$A$10*G21/1000</f>
        <v>3.8977378553206981</v>
      </c>
      <c r="E21" s="641">
        <f t="shared" ref="E21:E71" ca="1" si="3">0.75*$A$10^2*G21^2-($C$2/SQRT(2)*0.98)^2</f>
        <v>-48576.049999999996</v>
      </c>
      <c r="F21" s="641">
        <f ca="1">ROUND((-D21/2/C21+SQRT((D21/2/C21)^2-E21/C21)),1)</f>
        <v>1879.3</v>
      </c>
      <c r="G21" s="641">
        <f>MIN($D$10,$A$13)*1</f>
        <v>28.2</v>
      </c>
      <c r="H21" s="641">
        <f t="shared" ref="H21:H70" si="4">A21/G21</f>
        <v>1.074468085106383</v>
      </c>
      <c r="I21" s="641"/>
      <c r="K21" s="643" t="str">
        <f>Calc!K21</f>
        <v>Servostar S20260</v>
      </c>
      <c r="L21" s="643">
        <f>Calc!L21</f>
        <v>230</v>
      </c>
      <c r="M21" s="643">
        <f>Calc!M21</f>
        <v>1.5</v>
      </c>
      <c r="N21" s="643">
        <f>Calc!N21</f>
        <v>4.5</v>
      </c>
      <c r="O21" s="643" t="str">
        <f>Calc!O21</f>
        <v>Ja</v>
      </c>
    </row>
    <row r="22" spans="1:15" hidden="1">
      <c r="A22" s="631">
        <f t="shared" si="0"/>
        <v>29.782200000000003</v>
      </c>
      <c r="B22" s="631">
        <f t="shared" ref="B22:B73" ca="1" si="5">MAX(MIN(F22,$F$10),0)</f>
        <v>1898.6</v>
      </c>
      <c r="C22" s="641">
        <f t="shared" si="1"/>
        <v>1.1470253028371923E-2</v>
      </c>
      <c r="D22" s="641">
        <f t="shared" si="2"/>
        <v>3.819783098214284</v>
      </c>
      <c r="E22" s="641">
        <f t="shared" ca="1" si="3"/>
        <v>-48599.668627999999</v>
      </c>
      <c r="F22" s="641">
        <f t="shared" ref="F22:F71" ca="1" si="6">ROUND((-D22/2/C22+SQRT((D22/2/C22)^2-E22/C22)),1)</f>
        <v>1898.6</v>
      </c>
      <c r="G22" s="641">
        <f>MIN($D$10,$A$13)*0.98</f>
        <v>27.635999999999999</v>
      </c>
      <c r="H22" s="641">
        <f t="shared" si="4"/>
        <v>1.0776595744680852</v>
      </c>
      <c r="K22" s="643" t="str">
        <f>Calc!K22</f>
        <v>Servostar S20360</v>
      </c>
      <c r="L22" s="643">
        <f>Calc!L22</f>
        <v>230</v>
      </c>
      <c r="M22" s="643">
        <f>Calc!M22</f>
        <v>3</v>
      </c>
      <c r="N22" s="643">
        <f>Calc!N22</f>
        <v>9</v>
      </c>
      <c r="O22" s="643" t="str">
        <f>Calc!O22</f>
        <v>Ja</v>
      </c>
    </row>
    <row r="23" spans="1:15" hidden="1">
      <c r="A23" s="631">
        <f t="shared" si="0"/>
        <v>29.2608</v>
      </c>
      <c r="B23" s="631">
        <f t="shared" ca="1" si="5"/>
        <v>1918.2</v>
      </c>
      <c r="C23" s="641">
        <f t="shared" si="1"/>
        <v>1.1264124472040362E-2</v>
      </c>
      <c r="D23" s="641">
        <f t="shared" si="2"/>
        <v>3.7418283411078699</v>
      </c>
      <c r="E23" s="641">
        <f t="shared" ca="1" si="3"/>
        <v>-48622.810111999999</v>
      </c>
      <c r="F23" s="641">
        <f t="shared" ca="1" si="6"/>
        <v>1918.2</v>
      </c>
      <c r="G23" s="641">
        <f>MIN($D$10,$A$13)*0.96</f>
        <v>27.071999999999999</v>
      </c>
      <c r="H23" s="641">
        <f t="shared" si="4"/>
        <v>1.0808510638297872</v>
      </c>
      <c r="K23" s="643" t="str">
        <f>Calc!K23</f>
        <v>Servostar S20330</v>
      </c>
      <c r="L23" s="643">
        <f>Calc!L23</f>
        <v>50</v>
      </c>
      <c r="M23" s="643">
        <f>Calc!M23</f>
        <v>3</v>
      </c>
      <c r="N23" s="643">
        <f>Calc!N23</f>
        <v>9</v>
      </c>
      <c r="O23" s="643" t="str">
        <f>Calc!O23</f>
        <v>Ja</v>
      </c>
    </row>
    <row r="24" spans="1:15" hidden="1">
      <c r="A24" s="631">
        <f t="shared" si="0"/>
        <v>28.735800000000001</v>
      </c>
      <c r="B24" s="631">
        <f t="shared" ca="1" si="5"/>
        <v>1937.9</v>
      </c>
      <c r="C24" s="641">
        <f t="shared" si="1"/>
        <v>1.1062245989035227E-2</v>
      </c>
      <c r="D24" s="641">
        <f t="shared" si="2"/>
        <v>3.6638735840014567</v>
      </c>
      <c r="E24" s="641">
        <f t="shared" ca="1" si="3"/>
        <v>-48645.474451999995</v>
      </c>
      <c r="F24" s="641">
        <f t="shared" ca="1" si="6"/>
        <v>1937.9</v>
      </c>
      <c r="G24" s="641">
        <f>MIN($D$10,$A$13)*0.94</f>
        <v>26.507999999999999</v>
      </c>
      <c r="H24" s="641">
        <f t="shared" si="4"/>
        <v>1.0840425531914895</v>
      </c>
      <c r="K24" s="643" t="str">
        <f>Calc!K24</f>
        <v>Servostar S20630</v>
      </c>
      <c r="L24" s="643">
        <f>Calc!L24</f>
        <v>50</v>
      </c>
      <c r="M24" s="643">
        <f>Calc!M24</f>
        <v>6</v>
      </c>
      <c r="N24" s="643">
        <f>Calc!N24</f>
        <v>18</v>
      </c>
      <c r="O24" s="643" t="str">
        <f>Calc!O24</f>
        <v>Ja</v>
      </c>
    </row>
    <row r="25" spans="1:15" hidden="1">
      <c r="A25" s="631">
        <f t="shared" si="0"/>
        <v>28.207199999999997</v>
      </c>
      <c r="B25" s="631">
        <f t="shared" ca="1" si="5"/>
        <v>1957.9</v>
      </c>
      <c r="C25" s="641">
        <f t="shared" si="1"/>
        <v>1.0864617579356514E-2</v>
      </c>
      <c r="D25" s="641">
        <f t="shared" si="2"/>
        <v>3.5859188268950426</v>
      </c>
      <c r="E25" s="641">
        <f t="shared" ca="1" si="3"/>
        <v>-48667.661647999994</v>
      </c>
      <c r="F25" s="641">
        <f t="shared" ca="1" si="6"/>
        <v>1957.9</v>
      </c>
      <c r="G25" s="641">
        <f>MIN($D$10,$A$13)*0.92</f>
        <v>25.943999999999999</v>
      </c>
      <c r="H25" s="641">
        <f t="shared" si="4"/>
        <v>1.0872340425531914</v>
      </c>
      <c r="K25" s="643" t="str">
        <f>Calc!K25</f>
        <v>S 701</v>
      </c>
      <c r="L25" s="643">
        <f>Calc!L25</f>
        <v>480</v>
      </c>
      <c r="M25" s="643">
        <f>Calc!M25</f>
        <v>1.5</v>
      </c>
      <c r="N25" s="643">
        <f>Calc!N25</f>
        <v>4.5</v>
      </c>
      <c r="O25" s="643" t="str">
        <f>Calc!O25</f>
        <v>Nein</v>
      </c>
    </row>
    <row r="26" spans="1:15" hidden="1">
      <c r="A26" s="631">
        <f t="shared" si="0"/>
        <v>27.675000000000001</v>
      </c>
      <c r="B26" s="631">
        <f t="shared" ca="1" si="5"/>
        <v>1978</v>
      </c>
      <c r="C26" s="641">
        <f t="shared" si="1"/>
        <v>1.0671239243004225E-2</v>
      </c>
      <c r="D26" s="641">
        <f t="shared" si="2"/>
        <v>3.5079640697886285</v>
      </c>
      <c r="E26" s="641">
        <f t="shared" ca="1" si="3"/>
        <v>-48689.371699999996</v>
      </c>
      <c r="F26" s="641">
        <f t="shared" ca="1" si="6"/>
        <v>1978</v>
      </c>
      <c r="G26" s="641">
        <f>MIN($D$10,$A$13)*0.9</f>
        <v>25.38</v>
      </c>
      <c r="H26" s="641">
        <f t="shared" si="4"/>
        <v>1.0904255319148937</v>
      </c>
      <c r="K26" s="643" t="str">
        <f>Calc!K26</f>
        <v>S 703</v>
      </c>
      <c r="L26" s="643">
        <f>Calc!L26</f>
        <v>480</v>
      </c>
      <c r="M26" s="643">
        <f>Calc!M26</f>
        <v>3</v>
      </c>
      <c r="N26" s="643">
        <f>Calc!N26</f>
        <v>9</v>
      </c>
      <c r="O26" s="643" t="str">
        <f>Calc!O26</f>
        <v>Nein</v>
      </c>
    </row>
    <row r="27" spans="1:15" hidden="1">
      <c r="A27" s="631">
        <f t="shared" si="0"/>
        <v>27.139200000000002</v>
      </c>
      <c r="B27" s="631">
        <f t="shared" ca="1" si="5"/>
        <v>1998.3</v>
      </c>
      <c r="C27" s="641">
        <f t="shared" si="1"/>
        <v>1.048211097997836E-2</v>
      </c>
      <c r="D27" s="641">
        <f t="shared" si="2"/>
        <v>3.4300093126822144</v>
      </c>
      <c r="E27" s="641">
        <f t="shared" ca="1" si="3"/>
        <v>-48710.604607999994</v>
      </c>
      <c r="F27" s="641">
        <f t="shared" ca="1" si="6"/>
        <v>1998.3</v>
      </c>
      <c r="G27" s="641">
        <f>MIN($D$10,$A$13)*0.88</f>
        <v>24.815999999999999</v>
      </c>
      <c r="H27" s="641">
        <f t="shared" si="4"/>
        <v>1.0936170212765959</v>
      </c>
      <c r="K27" s="643" t="str">
        <f>Calc!K27</f>
        <v>S 706</v>
      </c>
      <c r="L27" s="643">
        <f>Calc!L27</f>
        <v>480</v>
      </c>
      <c r="M27" s="643">
        <f>Calc!M27</f>
        <v>6</v>
      </c>
      <c r="N27" s="643">
        <f>Calc!N27</f>
        <v>18</v>
      </c>
      <c r="O27" s="643" t="str">
        <f>Calc!O27</f>
        <v>Nein</v>
      </c>
    </row>
    <row r="28" spans="1:15" hidden="1">
      <c r="A28" s="631">
        <f t="shared" si="0"/>
        <v>26.599799999999998</v>
      </c>
      <c r="B28" s="631">
        <f t="shared" ca="1" si="5"/>
        <v>2018.7</v>
      </c>
      <c r="C28" s="641">
        <f t="shared" si="1"/>
        <v>1.029723279027892E-2</v>
      </c>
      <c r="D28" s="641">
        <f t="shared" si="2"/>
        <v>3.3520545555758003</v>
      </c>
      <c r="E28" s="641">
        <f t="shared" ca="1" si="3"/>
        <v>-48731.360371999996</v>
      </c>
      <c r="F28" s="641">
        <f t="shared" ca="1" si="6"/>
        <v>2018.7</v>
      </c>
      <c r="G28" s="641">
        <f>MIN($D$10,$A$13)*0.86</f>
        <v>24.251999999999999</v>
      </c>
      <c r="H28" s="641">
        <f t="shared" si="4"/>
        <v>1.0968085106382979</v>
      </c>
      <c r="K28" s="643" t="str">
        <f>Calc!K28</f>
        <v>S 712</v>
      </c>
      <c r="L28" s="643">
        <f>Calc!L28</f>
        <v>480</v>
      </c>
      <c r="M28" s="643">
        <f>Calc!M28</f>
        <v>12</v>
      </c>
      <c r="N28" s="643">
        <f>Calc!N28</f>
        <v>24</v>
      </c>
      <c r="O28" s="643" t="str">
        <f>Calc!O28</f>
        <v>Nein</v>
      </c>
    </row>
    <row r="29" spans="1:15" hidden="1">
      <c r="A29" s="631">
        <f t="shared" si="0"/>
        <v>26.056799999999999</v>
      </c>
      <c r="B29" s="631">
        <f t="shared" ca="1" si="5"/>
        <v>2039.4</v>
      </c>
      <c r="C29" s="641">
        <f t="shared" si="1"/>
        <v>1.0116604673905903E-2</v>
      </c>
      <c r="D29" s="641">
        <f t="shared" si="2"/>
        <v>3.2740997984693863</v>
      </c>
      <c r="E29" s="641">
        <f t="shared" ca="1" si="3"/>
        <v>-48751.638991999993</v>
      </c>
      <c r="F29" s="641">
        <f t="shared" ca="1" si="6"/>
        <v>2039.4</v>
      </c>
      <c r="G29" s="641">
        <f>MIN($D$10,$A$13)*0.84</f>
        <v>23.687999999999999</v>
      </c>
      <c r="H29" s="641">
        <f t="shared" si="4"/>
        <v>1.1000000000000001</v>
      </c>
      <c r="K29" s="643" t="str">
        <f>Calc!K29</f>
        <v>S 712P</v>
      </c>
      <c r="L29" s="643">
        <f>Calc!L29</f>
        <v>480</v>
      </c>
      <c r="M29" s="643">
        <f>Calc!M29</f>
        <v>12</v>
      </c>
      <c r="N29" s="643">
        <f>Calc!N29</f>
        <v>30</v>
      </c>
      <c r="O29" s="643" t="str">
        <f>Calc!O29</f>
        <v>Nein</v>
      </c>
    </row>
    <row r="30" spans="1:15" hidden="1">
      <c r="A30" s="631">
        <f t="shared" si="0"/>
        <v>25.510199999999998</v>
      </c>
      <c r="B30" s="631">
        <f t="shared" ca="1" si="5"/>
        <v>2060.1</v>
      </c>
      <c r="C30" s="641">
        <f t="shared" si="1"/>
        <v>9.9402266308593109E-3</v>
      </c>
      <c r="D30" s="641">
        <f t="shared" si="2"/>
        <v>3.1961450413629722</v>
      </c>
      <c r="E30" s="641">
        <f t="shared" ca="1" si="3"/>
        <v>-48771.440467999993</v>
      </c>
      <c r="F30" s="641">
        <f t="shared" ca="1" si="6"/>
        <v>2060.1</v>
      </c>
      <c r="G30" s="641">
        <f>MIN($D$10,$A$13)*0.82</f>
        <v>23.123999999999999</v>
      </c>
      <c r="H30" s="641">
        <f t="shared" si="4"/>
        <v>1.1031914893617021</v>
      </c>
      <c r="K30" s="643" t="str">
        <f>Calc!K30</f>
        <v>S 724</v>
      </c>
      <c r="L30" s="643">
        <f>Calc!L30</f>
        <v>480</v>
      </c>
      <c r="M30" s="643">
        <f>Calc!M30</f>
        <v>24</v>
      </c>
      <c r="N30" s="643">
        <f>Calc!N30</f>
        <v>48</v>
      </c>
      <c r="O30" s="643" t="str">
        <f>Calc!O30</f>
        <v>Nein</v>
      </c>
    </row>
    <row r="31" spans="1:15" hidden="1">
      <c r="A31" s="631">
        <f t="shared" si="0"/>
        <v>24.960000000000004</v>
      </c>
      <c r="B31" s="631">
        <f t="shared" ca="1" si="5"/>
        <v>2081</v>
      </c>
      <c r="C31" s="641">
        <f t="shared" si="1"/>
        <v>9.7680986611391428E-3</v>
      </c>
      <c r="D31" s="641">
        <f t="shared" si="2"/>
        <v>3.118190284256559</v>
      </c>
      <c r="E31" s="641">
        <f t="shared" ca="1" si="3"/>
        <v>-48790.764799999997</v>
      </c>
      <c r="F31" s="641">
        <f t="shared" ca="1" si="6"/>
        <v>2081</v>
      </c>
      <c r="G31" s="641">
        <f>MIN($D$10,$A$13)*0.8</f>
        <v>22.560000000000002</v>
      </c>
      <c r="H31" s="641">
        <f t="shared" si="4"/>
        <v>1.1063829787234043</v>
      </c>
      <c r="K31" s="643" t="str">
        <f>Calc!K31</f>
        <v>S 724P</v>
      </c>
      <c r="L31" s="643">
        <f>Calc!L31</f>
        <v>480</v>
      </c>
      <c r="M31" s="643">
        <f>Calc!M31</f>
        <v>24</v>
      </c>
      <c r="N31" s="643">
        <f>Calc!N31</f>
        <v>72</v>
      </c>
      <c r="O31" s="643" t="str">
        <f>Calc!O31</f>
        <v>Nein</v>
      </c>
    </row>
    <row r="32" spans="1:15" hidden="1">
      <c r="A32" s="631">
        <f t="shared" si="0"/>
        <v>24.406200000000002</v>
      </c>
      <c r="B32" s="631">
        <f t="shared" ca="1" si="5"/>
        <v>2102</v>
      </c>
      <c r="C32" s="641">
        <f t="shared" si="1"/>
        <v>9.6002207647453951E-3</v>
      </c>
      <c r="D32" s="641">
        <f t="shared" si="2"/>
        <v>3.0402355271501444</v>
      </c>
      <c r="E32" s="641">
        <f t="shared" ca="1" si="3"/>
        <v>-48809.611987999997</v>
      </c>
      <c r="F32" s="641">
        <f t="shared" ca="1" si="6"/>
        <v>2102</v>
      </c>
      <c r="G32" s="641">
        <f>MIN($D$10,$A$13)*0.78</f>
        <v>21.995999999999999</v>
      </c>
      <c r="H32" s="641">
        <f t="shared" si="4"/>
        <v>1.1095744680851065</v>
      </c>
      <c r="K32" s="643" t="str">
        <f>Calc!K32</f>
        <v>S 748</v>
      </c>
      <c r="L32" s="643">
        <f>Calc!L32</f>
        <v>480</v>
      </c>
      <c r="M32" s="643">
        <f>Calc!M32</f>
        <v>48</v>
      </c>
      <c r="N32" s="643">
        <f>Calc!N32</f>
        <v>96</v>
      </c>
      <c r="O32" s="643" t="str">
        <f>Calc!O32</f>
        <v>Nein</v>
      </c>
    </row>
    <row r="33" spans="1:15" hidden="1">
      <c r="A33" s="631">
        <f t="shared" si="0"/>
        <v>23.848799999999997</v>
      </c>
      <c r="B33" s="631">
        <f t="shared" ca="1" si="5"/>
        <v>2123.1999999999998</v>
      </c>
      <c r="C33" s="641">
        <f t="shared" si="1"/>
        <v>9.4365929416780747E-3</v>
      </c>
      <c r="D33" s="641">
        <f t="shared" si="2"/>
        <v>2.9622807700437308</v>
      </c>
      <c r="E33" s="641">
        <f t="shared" ca="1" si="3"/>
        <v>-48827.982031999993</v>
      </c>
      <c r="F33" s="641">
        <f t="shared" ca="1" si="6"/>
        <v>2123.1999999999998</v>
      </c>
      <c r="G33" s="641">
        <f>MIN($D$10,$A$13)*0.76</f>
        <v>21.431999999999999</v>
      </c>
      <c r="H33" s="641">
        <f t="shared" si="4"/>
        <v>1.1127659574468085</v>
      </c>
      <c r="K33" s="643" t="str">
        <f>Calc!K33</f>
        <v>S 772</v>
      </c>
      <c r="L33" s="643">
        <f>Calc!L33</f>
        <v>480</v>
      </c>
      <c r="M33" s="643">
        <f>Calc!M33</f>
        <v>72</v>
      </c>
      <c r="N33" s="643">
        <f>Calc!N33</f>
        <v>140</v>
      </c>
      <c r="O33" s="643" t="str">
        <f>Calc!O33</f>
        <v>Nein</v>
      </c>
    </row>
    <row r="34" spans="1:15" hidden="1">
      <c r="A34" s="631">
        <f t="shared" si="0"/>
        <v>23.287800000000001</v>
      </c>
      <c r="B34" s="631">
        <f t="shared" ca="1" si="5"/>
        <v>2144.4</v>
      </c>
      <c r="C34" s="641">
        <f t="shared" si="1"/>
        <v>9.2772151919371781E-3</v>
      </c>
      <c r="D34" s="641">
        <f t="shared" si="2"/>
        <v>2.8843260129373167</v>
      </c>
      <c r="E34" s="641">
        <f t="shared" ca="1" si="3"/>
        <v>-48845.874931999999</v>
      </c>
      <c r="F34" s="641">
        <f t="shared" ca="1" si="6"/>
        <v>2144.4</v>
      </c>
      <c r="G34" s="641">
        <f>MIN($D$10,$A$13)*0.74</f>
        <v>20.867999999999999</v>
      </c>
      <c r="H34" s="641">
        <f t="shared" si="4"/>
        <v>1.1159574468085107</v>
      </c>
      <c r="K34" s="643" t="str">
        <f>Calc!K34</f>
        <v>AKD-x00306</v>
      </c>
      <c r="L34" s="643">
        <f>Calc!L34</f>
        <v>230</v>
      </c>
      <c r="M34" s="643">
        <f>Calc!M34</f>
        <v>3</v>
      </c>
      <c r="N34" s="643">
        <f>Calc!N34</f>
        <v>9</v>
      </c>
      <c r="O34" s="643" t="str">
        <f>Calc!O34</f>
        <v>Ja</v>
      </c>
    </row>
    <row r="35" spans="1:15" hidden="1">
      <c r="A35" s="631">
        <f t="shared" si="0"/>
        <v>22.723199999999999</v>
      </c>
      <c r="B35" s="631">
        <f t="shared" ca="1" si="5"/>
        <v>2165.6999999999998</v>
      </c>
      <c r="C35" s="641">
        <f t="shared" si="1"/>
        <v>9.1220875155227036E-3</v>
      </c>
      <c r="D35" s="641">
        <f t="shared" si="2"/>
        <v>2.8063712558309026</v>
      </c>
      <c r="E35" s="641">
        <f t="shared" ca="1" si="3"/>
        <v>-48863.290687999994</v>
      </c>
      <c r="F35" s="641">
        <f t="shared" ca="1" si="6"/>
        <v>2165.6999999999998</v>
      </c>
      <c r="G35" s="641">
        <f>MIN($D$10,$A$13)*0.72</f>
        <v>20.303999999999998</v>
      </c>
      <c r="H35" s="641">
        <f t="shared" si="4"/>
        <v>1.1191489361702127</v>
      </c>
      <c r="K35" s="643" t="str">
        <f>Calc!K35</f>
        <v>AKD-x00606</v>
      </c>
      <c r="L35" s="643">
        <f>Calc!L35</f>
        <v>230</v>
      </c>
      <c r="M35" s="643">
        <f>Calc!M35</f>
        <v>6</v>
      </c>
      <c r="N35" s="643">
        <f>Calc!N35</f>
        <v>18</v>
      </c>
      <c r="O35" s="643" t="str">
        <f>Calc!O35</f>
        <v>Ja</v>
      </c>
    </row>
    <row r="36" spans="1:15" hidden="1">
      <c r="A36" s="631">
        <f t="shared" si="0"/>
        <v>22.154999999999998</v>
      </c>
      <c r="B36" s="631">
        <f t="shared" ca="1" si="5"/>
        <v>2187.1</v>
      </c>
      <c r="C36" s="641">
        <f t="shared" si="1"/>
        <v>8.9712099124346547E-3</v>
      </c>
      <c r="D36" s="641">
        <f t="shared" si="2"/>
        <v>2.7284164987244885</v>
      </c>
      <c r="E36" s="641">
        <f t="shared" ca="1" si="3"/>
        <v>-48880.229299999999</v>
      </c>
      <c r="F36" s="641">
        <f t="shared" ca="1" si="6"/>
        <v>2187.1</v>
      </c>
      <c r="G36" s="641">
        <f>MIN($D$10,$A$13)*0.7</f>
        <v>19.739999999999998</v>
      </c>
      <c r="H36" s="641">
        <f t="shared" si="4"/>
        <v>1.1223404255319149</v>
      </c>
      <c r="K36" s="643" t="str">
        <f>Calc!K36</f>
        <v>AKD-x01206</v>
      </c>
      <c r="L36" s="643">
        <f>Calc!L36</f>
        <v>230</v>
      </c>
      <c r="M36" s="643">
        <f>Calc!M36</f>
        <v>12</v>
      </c>
      <c r="N36" s="643">
        <f>Calc!N36</f>
        <v>30</v>
      </c>
      <c r="O36" s="643" t="str">
        <f>Calc!O36</f>
        <v>Ja</v>
      </c>
    </row>
    <row r="37" spans="1:15" hidden="1">
      <c r="A37" s="631">
        <f t="shared" si="0"/>
        <v>21.583200000000001</v>
      </c>
      <c r="B37" s="631">
        <f t="shared" ca="1" si="5"/>
        <v>2208.5</v>
      </c>
      <c r="C37" s="641">
        <f t="shared" si="1"/>
        <v>8.8245823826730296E-3</v>
      </c>
      <c r="D37" s="641">
        <f t="shared" si="2"/>
        <v>2.6504617416180749</v>
      </c>
      <c r="E37" s="641">
        <f t="shared" ca="1" si="3"/>
        <v>-48896.690767999993</v>
      </c>
      <c r="F37" s="641">
        <f t="shared" ca="1" si="6"/>
        <v>2208.5</v>
      </c>
      <c r="G37" s="641">
        <f>MIN($D$10,$A$13)*0.68</f>
        <v>19.176000000000002</v>
      </c>
      <c r="H37" s="641">
        <f t="shared" si="4"/>
        <v>1.1255319148936169</v>
      </c>
      <c r="K37" s="643" t="str">
        <f>Calc!K37</f>
        <v>AKD-x02406</v>
      </c>
      <c r="L37" s="643">
        <f>Calc!L37</f>
        <v>230</v>
      </c>
      <c r="M37" s="643">
        <f>Calc!M37</f>
        <v>24</v>
      </c>
      <c r="N37" s="643">
        <f>Calc!N37</f>
        <v>48</v>
      </c>
      <c r="O37" s="643" t="str">
        <f>Calc!O37</f>
        <v>Ja</v>
      </c>
    </row>
    <row r="38" spans="1:15" hidden="1">
      <c r="A38" s="631">
        <f t="shared" si="0"/>
        <v>21.007800000000003</v>
      </c>
      <c r="B38" s="631">
        <f t="shared" ca="1" si="5"/>
        <v>2230</v>
      </c>
      <c r="C38" s="641">
        <f t="shared" si="1"/>
        <v>8.6822049262378284E-3</v>
      </c>
      <c r="D38" s="641">
        <f t="shared" si="2"/>
        <v>2.5725069845116613</v>
      </c>
      <c r="E38" s="641">
        <f t="shared" ca="1" si="3"/>
        <v>-48912.675091999998</v>
      </c>
      <c r="F38" s="641">
        <f t="shared" ca="1" si="6"/>
        <v>2230</v>
      </c>
      <c r="G38" s="641">
        <f>MIN($D$10,$A$13)*0.66</f>
        <v>18.612000000000002</v>
      </c>
      <c r="H38" s="641">
        <f t="shared" si="4"/>
        <v>1.1287234042553191</v>
      </c>
      <c r="K38" s="643" t="str">
        <f>Calc!K38</f>
        <v>AKD-x00307</v>
      </c>
      <c r="L38" s="643">
        <f>Calc!L38</f>
        <v>480</v>
      </c>
      <c r="M38" s="643">
        <f>Calc!M38</f>
        <v>3</v>
      </c>
      <c r="N38" s="643">
        <f>Calc!N38</f>
        <v>9</v>
      </c>
      <c r="O38" s="643" t="str">
        <f>Calc!O38</f>
        <v>Ja</v>
      </c>
    </row>
    <row r="39" spans="1:15" hidden="1">
      <c r="A39" s="631">
        <f t="shared" si="0"/>
        <v>20.428799999999999</v>
      </c>
      <c r="B39" s="631">
        <f t="shared" ca="1" si="5"/>
        <v>2251.5</v>
      </c>
      <c r="C39" s="641">
        <f t="shared" si="1"/>
        <v>8.5440775431290493E-3</v>
      </c>
      <c r="D39" s="641">
        <f t="shared" si="2"/>
        <v>2.4945522274052467</v>
      </c>
      <c r="E39" s="641">
        <f t="shared" ca="1" si="3"/>
        <v>-48928.182271999998</v>
      </c>
      <c r="F39" s="641">
        <f t="shared" ca="1" si="6"/>
        <v>2251.5</v>
      </c>
      <c r="G39" s="641">
        <f>MIN($D$10,$A$13)*0.64</f>
        <v>18.047999999999998</v>
      </c>
      <c r="H39" s="641">
        <f t="shared" si="4"/>
        <v>1.1319148936170214</v>
      </c>
      <c r="K39" s="643" t="str">
        <f>Calc!K39</f>
        <v>AKD-x00607</v>
      </c>
      <c r="L39" s="643">
        <f>Calc!L39</f>
        <v>480</v>
      </c>
      <c r="M39" s="643">
        <f>Calc!M39</f>
        <v>6</v>
      </c>
      <c r="N39" s="643">
        <f>Calc!N39</f>
        <v>18</v>
      </c>
      <c r="O39" s="643" t="str">
        <f>Calc!O39</f>
        <v>Ja</v>
      </c>
    </row>
    <row r="40" spans="1:15" hidden="1">
      <c r="A40" s="631">
        <f t="shared" si="0"/>
        <v>19.846199999999996</v>
      </c>
      <c r="B40" s="631">
        <f t="shared" ca="1" si="5"/>
        <v>2273</v>
      </c>
      <c r="C40" s="641">
        <f t="shared" si="1"/>
        <v>8.4102002333466958E-3</v>
      </c>
      <c r="D40" s="641">
        <f t="shared" si="2"/>
        <v>2.4165974702988327</v>
      </c>
      <c r="E40" s="641">
        <f t="shared" ca="1" si="3"/>
        <v>-48943.212307999995</v>
      </c>
      <c r="F40" s="641">
        <f t="shared" ca="1" si="6"/>
        <v>2273</v>
      </c>
      <c r="G40" s="641">
        <f>MIN($D$10,$A$13)*0.62</f>
        <v>17.483999999999998</v>
      </c>
      <c r="H40" s="641">
        <f t="shared" si="4"/>
        <v>1.1351063829787233</v>
      </c>
      <c r="K40" s="643" t="str">
        <f>Calc!K40</f>
        <v>AKD-x01207</v>
      </c>
      <c r="L40" s="643">
        <f>Calc!L40</f>
        <v>480</v>
      </c>
      <c r="M40" s="643">
        <f>Calc!M40</f>
        <v>12</v>
      </c>
      <c r="N40" s="643">
        <f>Calc!N40</f>
        <v>30</v>
      </c>
      <c r="O40" s="643" t="str">
        <f>Calc!O40</f>
        <v>Ja</v>
      </c>
    </row>
    <row r="41" spans="1:15" hidden="1">
      <c r="A41" s="631">
        <f t="shared" si="0"/>
        <v>19.259999999999998</v>
      </c>
      <c r="B41" s="631">
        <f t="shared" ca="1" si="5"/>
        <v>2294.4</v>
      </c>
      <c r="C41" s="641">
        <f t="shared" si="1"/>
        <v>8.2805729968907678E-3</v>
      </c>
      <c r="D41" s="641">
        <f t="shared" si="2"/>
        <v>2.338642713192419</v>
      </c>
      <c r="E41" s="641">
        <f t="shared" ca="1" si="3"/>
        <v>-48957.765199999994</v>
      </c>
      <c r="F41" s="641">
        <f t="shared" ca="1" si="6"/>
        <v>2294.4</v>
      </c>
      <c r="G41" s="641">
        <f>MIN($D$10,$A$13)*0.6</f>
        <v>16.919999999999998</v>
      </c>
      <c r="H41" s="641">
        <f t="shared" si="4"/>
        <v>1.1382978723404256</v>
      </c>
      <c r="K41" s="643" t="str">
        <f>Calc!K41</f>
        <v>AKD-x02407</v>
      </c>
      <c r="L41" s="643">
        <f>Calc!L41</f>
        <v>480</v>
      </c>
      <c r="M41" s="643">
        <f>Calc!M41</f>
        <v>24</v>
      </c>
      <c r="N41" s="643">
        <f>Calc!N41</f>
        <v>48</v>
      </c>
      <c r="O41" s="643" t="str">
        <f>Calc!O41</f>
        <v>Ja</v>
      </c>
    </row>
    <row r="42" spans="1:15" hidden="1">
      <c r="A42" s="631">
        <f t="shared" si="0"/>
        <v>18.670200000000001</v>
      </c>
      <c r="B42" s="631">
        <f t="shared" ca="1" si="5"/>
        <v>2315.8000000000002</v>
      </c>
      <c r="C42" s="641">
        <f t="shared" si="1"/>
        <v>8.1551958337612602E-3</v>
      </c>
      <c r="D42" s="641">
        <f t="shared" si="2"/>
        <v>2.2606879560860049</v>
      </c>
      <c r="E42" s="641">
        <f t="shared" ca="1" si="3"/>
        <v>-48971.840947999997</v>
      </c>
      <c r="F42" s="641">
        <f t="shared" ca="1" si="6"/>
        <v>2315.8000000000002</v>
      </c>
      <c r="G42" s="641">
        <f>MIN($D$10,$A$13)*0.58</f>
        <v>16.355999999999998</v>
      </c>
      <c r="H42" s="641">
        <f t="shared" si="4"/>
        <v>1.1414893617021278</v>
      </c>
      <c r="K42" s="643" t="str">
        <f>Calc!K42</f>
        <v>other drive</v>
      </c>
      <c r="L42" s="643">
        <f>Calc!L42</f>
        <v>480</v>
      </c>
      <c r="M42" s="643" t="str">
        <f>Calc!M42</f>
        <v>5</v>
      </c>
      <c r="N42" s="643" t="str">
        <f>Calc!N42</f>
        <v>15</v>
      </c>
      <c r="O42" s="643" t="str">
        <f>Calc!O42</f>
        <v>Nein</v>
      </c>
    </row>
    <row r="43" spans="1:15" hidden="1">
      <c r="A43" s="631">
        <f t="shared" si="0"/>
        <v>18.076800000000002</v>
      </c>
      <c r="B43" s="631">
        <f t="shared" ca="1" si="5"/>
        <v>2337.1</v>
      </c>
      <c r="C43" s="641">
        <f t="shared" si="1"/>
        <v>8.0340687439581799E-3</v>
      </c>
      <c r="D43" s="641">
        <f t="shared" si="2"/>
        <v>2.1827331989795913</v>
      </c>
      <c r="E43" s="641">
        <f t="shared" ca="1" si="3"/>
        <v>-48985.439551999996</v>
      </c>
      <c r="F43" s="641">
        <f t="shared" ca="1" si="6"/>
        <v>2337.1</v>
      </c>
      <c r="G43" s="641">
        <f>MIN($D$10,$A$13)*0.56</f>
        <v>15.792000000000002</v>
      </c>
      <c r="H43" s="641">
        <f t="shared" si="4"/>
        <v>1.1446808510638298</v>
      </c>
      <c r="K43" s="643" t="str">
        <f>Calc!K43</f>
        <v>max.</v>
      </c>
      <c r="L43" s="643">
        <f>Calc!L43</f>
        <v>480</v>
      </c>
      <c r="M43" s="643">
        <f>Calc!M43</f>
        <v>1000</v>
      </c>
      <c r="N43" s="643">
        <f>Calc!N43</f>
        <v>1000</v>
      </c>
      <c r="O43" s="643" t="str">
        <f>Calc!O43</f>
        <v>Nein</v>
      </c>
    </row>
    <row r="44" spans="1:15" hidden="1">
      <c r="A44" s="631">
        <f t="shared" si="0"/>
        <v>17.479800000000001</v>
      </c>
      <c r="B44" s="631">
        <f t="shared" ca="1" si="5"/>
        <v>2358.4</v>
      </c>
      <c r="C44" s="641">
        <f t="shared" si="1"/>
        <v>7.9171917274815217E-3</v>
      </c>
      <c r="D44" s="641">
        <f t="shared" si="2"/>
        <v>2.1047784418731772</v>
      </c>
      <c r="E44" s="641">
        <f t="shared" ca="1" si="3"/>
        <v>-48998.561011999998</v>
      </c>
      <c r="F44" s="641">
        <f t="shared" ca="1" si="6"/>
        <v>2358.4</v>
      </c>
      <c r="G44" s="641">
        <f>MIN($D$10,$A$13)*0.54</f>
        <v>15.228</v>
      </c>
      <c r="H44" s="641">
        <f t="shared" si="4"/>
        <v>1.147872340425532</v>
      </c>
      <c r="K44" s="643" t="str">
        <f>Calc!K44</f>
        <v>S 131xx     5A 230V</v>
      </c>
      <c r="L44" s="643" t="str">
        <f>Calc!L44</f>
        <v>230 V</v>
      </c>
      <c r="M44" s="643">
        <f>Calc!M44</f>
        <v>5</v>
      </c>
      <c r="N44" s="643">
        <f>Calc!N44</f>
        <v>10</v>
      </c>
      <c r="O44" s="643" t="str">
        <f>Calc!O44</f>
        <v>Nein</v>
      </c>
    </row>
    <row r="45" spans="1:15" hidden="1">
      <c r="A45" s="631">
        <f t="shared" si="0"/>
        <v>16.879199999999997</v>
      </c>
      <c r="B45" s="631">
        <f t="shared" ca="1" si="5"/>
        <v>2379.5</v>
      </c>
      <c r="C45" s="641">
        <f t="shared" si="1"/>
        <v>7.8045647843312874E-3</v>
      </c>
      <c r="D45" s="641">
        <f t="shared" si="2"/>
        <v>2.0268236847667631</v>
      </c>
      <c r="E45" s="641">
        <f t="shared" ca="1" si="3"/>
        <v>-49011.205327999996</v>
      </c>
      <c r="F45" s="641">
        <f t="shared" ca="1" si="6"/>
        <v>2379.5</v>
      </c>
      <c r="G45" s="641">
        <f>MIN($D$10,$A$13)*0.52</f>
        <v>14.664</v>
      </c>
      <c r="H45" s="641">
        <f t="shared" si="4"/>
        <v>1.151063829787234</v>
      </c>
      <c r="K45" s="643" t="str">
        <f>Calc!K45</f>
        <v>S 132xx   10A 480V</v>
      </c>
      <c r="L45" s="643">
        <f>Calc!L45</f>
        <v>480</v>
      </c>
      <c r="M45" s="643">
        <f>Calc!M45</f>
        <v>10</v>
      </c>
      <c r="N45" s="643">
        <f>Calc!N45</f>
        <v>20</v>
      </c>
      <c r="O45" s="643" t="str">
        <f>Calc!O45</f>
        <v>Nein</v>
      </c>
    </row>
    <row r="46" spans="1:15" hidden="1">
      <c r="A46" s="631">
        <f t="shared" si="0"/>
        <v>16.274999999999999</v>
      </c>
      <c r="B46" s="631">
        <f t="shared" ca="1" si="5"/>
        <v>2400.4</v>
      </c>
      <c r="C46" s="641">
        <f t="shared" si="1"/>
        <v>7.6961879145074769E-3</v>
      </c>
      <c r="D46" s="641">
        <f t="shared" si="2"/>
        <v>1.948868927660349</v>
      </c>
      <c r="E46" s="641">
        <f t="shared" ca="1" si="3"/>
        <v>-49023.372499999998</v>
      </c>
      <c r="F46" s="641">
        <f t="shared" ca="1" si="6"/>
        <v>2400.4</v>
      </c>
      <c r="G46" s="641">
        <f>MIN($D$10,$A$13)*0.5</f>
        <v>14.1</v>
      </c>
      <c r="H46" s="641">
        <f t="shared" si="4"/>
        <v>1.1542553191489362</v>
      </c>
      <c r="K46" s="643" t="str">
        <f>Calc!K46</f>
        <v>S 132xx   15A 480V</v>
      </c>
      <c r="L46" s="643">
        <f>Calc!L46</f>
        <v>480</v>
      </c>
      <c r="M46" s="643">
        <f>Calc!M46</f>
        <v>15</v>
      </c>
      <c r="N46" s="643">
        <f>Calc!N46</f>
        <v>30</v>
      </c>
      <c r="O46" s="643" t="str">
        <f>Calc!O46</f>
        <v>Nein</v>
      </c>
    </row>
    <row r="47" spans="1:15" hidden="1">
      <c r="A47" s="631">
        <f t="shared" si="0"/>
        <v>15.667200000000001</v>
      </c>
      <c r="B47" s="631">
        <f t="shared" ca="1" si="5"/>
        <v>2421.1999999999998</v>
      </c>
      <c r="C47" s="641">
        <f t="shared" si="1"/>
        <v>7.5920611180100902E-3</v>
      </c>
      <c r="D47" s="641">
        <f t="shared" si="2"/>
        <v>1.8709141705539349</v>
      </c>
      <c r="E47" s="641">
        <f t="shared" ca="1" si="3"/>
        <v>-49035.062527999995</v>
      </c>
      <c r="F47" s="641">
        <f t="shared" ca="1" si="6"/>
        <v>2421.1999999999998</v>
      </c>
      <c r="G47" s="641">
        <f>MIN($D$10,$A$13)*0.48</f>
        <v>13.536</v>
      </c>
      <c r="H47" s="641">
        <f t="shared" si="4"/>
        <v>1.1574468085106384</v>
      </c>
      <c r="K47" s="643" t="str">
        <f>Calc!K47</f>
        <v>S 132xx   20A 480V</v>
      </c>
      <c r="L47" s="643">
        <f>Calc!L47</f>
        <v>480</v>
      </c>
      <c r="M47" s="643">
        <f>Calc!M47</f>
        <v>20</v>
      </c>
      <c r="N47" s="643">
        <f>Calc!N47</f>
        <v>40</v>
      </c>
      <c r="O47" s="643" t="str">
        <f>Calc!O47</f>
        <v>Nein</v>
      </c>
    </row>
    <row r="48" spans="1:15" hidden="1">
      <c r="A48" s="631">
        <f t="shared" si="0"/>
        <v>15.0558</v>
      </c>
      <c r="B48" s="631">
        <f t="shared" ca="1" si="5"/>
        <v>2441.6999999999998</v>
      </c>
      <c r="C48" s="641">
        <f t="shared" si="1"/>
        <v>7.4921843948391291E-3</v>
      </c>
      <c r="D48" s="641">
        <f t="shared" si="2"/>
        <v>1.7929594134475213</v>
      </c>
      <c r="E48" s="641">
        <f t="shared" ca="1" si="3"/>
        <v>-49046.275411999995</v>
      </c>
      <c r="F48" s="641">
        <f t="shared" ca="1" si="6"/>
        <v>2441.6999999999998</v>
      </c>
      <c r="G48" s="641">
        <f>MIN($D$10,$A$13)*0.46</f>
        <v>12.972</v>
      </c>
      <c r="H48" s="641">
        <f t="shared" si="4"/>
        <v>1.1606382978723404</v>
      </c>
      <c r="K48" s="643">
        <f>Calc!K48</f>
        <v>0</v>
      </c>
      <c r="L48" s="643">
        <f>Calc!L48</f>
        <v>0</v>
      </c>
      <c r="M48" s="643">
        <f>Calc!M48</f>
        <v>0</v>
      </c>
      <c r="N48" s="643">
        <f>Calc!N48</f>
        <v>0</v>
      </c>
      <c r="O48" s="643">
        <f>Calc!O48</f>
        <v>0</v>
      </c>
    </row>
    <row r="49" spans="1:15" hidden="1">
      <c r="A49" s="631">
        <f t="shared" si="0"/>
        <v>14.440799999999999</v>
      </c>
      <c r="B49" s="631">
        <f t="shared" ca="1" si="5"/>
        <v>2462</v>
      </c>
      <c r="C49" s="641">
        <f t="shared" si="1"/>
        <v>7.3965577449945901E-3</v>
      </c>
      <c r="D49" s="641">
        <f t="shared" si="2"/>
        <v>1.7150046563411072</v>
      </c>
      <c r="E49" s="641">
        <f t="shared" ca="1" si="3"/>
        <v>-49057.011151999999</v>
      </c>
      <c r="F49" s="641">
        <f t="shared" ca="1" si="6"/>
        <v>2462</v>
      </c>
      <c r="G49" s="641">
        <f>MIN($D$10,$A$13)*0.44</f>
        <v>12.407999999999999</v>
      </c>
      <c r="H49" s="641">
        <f t="shared" si="4"/>
        <v>1.1638297872340426</v>
      </c>
      <c r="K49" s="643">
        <f>Calc!K49</f>
        <v>0</v>
      </c>
      <c r="L49" s="643">
        <f>Calc!L49</f>
        <v>0</v>
      </c>
      <c r="M49" s="643">
        <f>Calc!M49</f>
        <v>0</v>
      </c>
      <c r="N49" s="643">
        <f>Calc!N49</f>
        <v>0</v>
      </c>
      <c r="O49" s="643">
        <f>Calc!O49</f>
        <v>0</v>
      </c>
    </row>
    <row r="50" spans="1:15" hidden="1">
      <c r="A50" s="631">
        <f t="shared" si="0"/>
        <v>13.822199999999999</v>
      </c>
      <c r="B50" s="631">
        <f t="shared" ca="1" si="5"/>
        <v>2482</v>
      </c>
      <c r="C50" s="641">
        <f t="shared" si="1"/>
        <v>7.3051811684764758E-3</v>
      </c>
      <c r="D50" s="641">
        <f t="shared" si="2"/>
        <v>1.6370498992346931</v>
      </c>
      <c r="E50" s="641">
        <f t="shared" ca="1" si="3"/>
        <v>-49067.269747999999</v>
      </c>
      <c r="F50" s="641">
        <f t="shared" ca="1" si="6"/>
        <v>2482</v>
      </c>
      <c r="G50" s="641">
        <f>MIN($D$10,$A$13)*0.42</f>
        <v>11.843999999999999</v>
      </c>
      <c r="H50" s="641">
        <f t="shared" si="4"/>
        <v>1.1670212765957446</v>
      </c>
    </row>
    <row r="51" spans="1:15" hidden="1">
      <c r="A51" s="631">
        <f t="shared" si="0"/>
        <v>13.199999999999971</v>
      </c>
      <c r="B51" s="631">
        <f t="shared" ca="1" si="5"/>
        <v>2501.8000000000002</v>
      </c>
      <c r="C51" s="641">
        <f t="shared" si="1"/>
        <v>7.218054665284781E-3</v>
      </c>
      <c r="D51" s="641">
        <f t="shared" si="2"/>
        <v>1.5590951421282755</v>
      </c>
      <c r="E51" s="641">
        <f t="shared" ca="1" si="3"/>
        <v>-49077.051199999994</v>
      </c>
      <c r="F51" s="641">
        <f t="shared" ca="1" si="6"/>
        <v>2501.8000000000002</v>
      </c>
      <c r="G51" s="641">
        <f>MIN($D$10,$A$13)*0.399999999999999</f>
        <v>11.279999999999973</v>
      </c>
      <c r="H51" s="641">
        <f t="shared" si="4"/>
        <v>1.1702127659574471</v>
      </c>
    </row>
    <row r="52" spans="1:15" hidden="1">
      <c r="A52" s="631">
        <f t="shared" si="0"/>
        <v>12.574199999999967</v>
      </c>
      <c r="B52" s="631">
        <f t="shared" ca="1" si="5"/>
        <v>2521.1</v>
      </c>
      <c r="C52" s="641">
        <f t="shared" si="1"/>
        <v>7.1351782354195144E-3</v>
      </c>
      <c r="D52" s="641">
        <f t="shared" si="2"/>
        <v>1.4811403850218614</v>
      </c>
      <c r="E52" s="641">
        <f t="shared" ca="1" si="3"/>
        <v>-49086.355507999993</v>
      </c>
      <c r="F52" s="641">
        <f t="shared" ca="1" si="6"/>
        <v>2521.1</v>
      </c>
      <c r="G52" s="641">
        <f>MIN($D$10,$A$13)*0.379999999999999</f>
        <v>10.715999999999971</v>
      </c>
      <c r="H52" s="641">
        <f t="shared" si="4"/>
        <v>1.173404255319149</v>
      </c>
    </row>
    <row r="53" spans="1:15" hidden="1">
      <c r="A53" s="631">
        <f t="shared" si="0"/>
        <v>11.944799999999967</v>
      </c>
      <c r="B53" s="631">
        <f t="shared" ca="1" si="5"/>
        <v>2540.1</v>
      </c>
      <c r="C53" s="641">
        <f t="shared" si="1"/>
        <v>7.0565518788806725E-3</v>
      </c>
      <c r="D53" s="641">
        <f t="shared" si="2"/>
        <v>1.4031856279154473</v>
      </c>
      <c r="E53" s="641">
        <f t="shared" ca="1" si="3"/>
        <v>-49095.182671999995</v>
      </c>
      <c r="F53" s="641">
        <f t="shared" ca="1" si="6"/>
        <v>2540.1</v>
      </c>
      <c r="G53" s="641">
        <f>MIN($D$10,$A$13)*0.359999999999999</f>
        <v>10.151999999999971</v>
      </c>
      <c r="H53" s="641">
        <f t="shared" si="4"/>
        <v>1.1765957446808513</v>
      </c>
    </row>
    <row r="54" spans="1:15" hidden="1">
      <c r="A54" s="631">
        <f t="shared" si="0"/>
        <v>11.311799999999968</v>
      </c>
      <c r="B54" s="631">
        <f t="shared" ca="1" si="5"/>
        <v>2558.6999999999998</v>
      </c>
      <c r="C54" s="641">
        <f t="shared" si="1"/>
        <v>6.9821755956682536E-3</v>
      </c>
      <c r="D54" s="641">
        <f t="shared" si="2"/>
        <v>1.3252308708090337</v>
      </c>
      <c r="E54" s="641">
        <f t="shared" ca="1" si="3"/>
        <v>-49103.532691999993</v>
      </c>
      <c r="F54" s="641">
        <f t="shared" ca="1" si="6"/>
        <v>2558.6999999999998</v>
      </c>
      <c r="G54" s="641">
        <f>MIN($D$10,$A$13)*0.339999999999999</f>
        <v>9.5879999999999725</v>
      </c>
      <c r="H54" s="641">
        <f t="shared" si="4"/>
        <v>1.1797872340425533</v>
      </c>
    </row>
    <row r="55" spans="1:15" hidden="1">
      <c r="A55" s="631">
        <f t="shared" si="0"/>
        <v>10.675199999999968</v>
      </c>
      <c r="B55" s="631">
        <f t="shared" ca="1" si="5"/>
        <v>2576.9</v>
      </c>
      <c r="C55" s="641">
        <f t="shared" si="1"/>
        <v>6.9120493857822594E-3</v>
      </c>
      <c r="D55" s="641">
        <f t="shared" si="2"/>
        <v>1.2472761137026196</v>
      </c>
      <c r="E55" s="641">
        <f t="shared" ca="1" si="3"/>
        <v>-49111.405567999995</v>
      </c>
      <c r="F55" s="641">
        <f t="shared" ca="1" si="6"/>
        <v>2576.9</v>
      </c>
      <c r="G55" s="641">
        <f>MIN($D$10,$A$13)*0.319999999999999</f>
        <v>9.0239999999999725</v>
      </c>
      <c r="H55" s="641">
        <f t="shared" si="4"/>
        <v>1.1829787234042555</v>
      </c>
    </row>
    <row r="56" spans="1:15" hidden="1">
      <c r="A56" s="631">
        <f t="shared" si="0"/>
        <v>10.034999999999966</v>
      </c>
      <c r="B56" s="631">
        <f t="shared" ca="1" si="5"/>
        <v>2594.5</v>
      </c>
      <c r="C56" s="641">
        <f t="shared" si="1"/>
        <v>6.8461732492226882E-3</v>
      </c>
      <c r="D56" s="641">
        <f t="shared" si="2"/>
        <v>1.1693213565962055</v>
      </c>
      <c r="E56" s="641">
        <f t="shared" ca="1" si="3"/>
        <v>-49118.801299999999</v>
      </c>
      <c r="F56" s="641">
        <f t="shared" ca="1" si="6"/>
        <v>2594.5</v>
      </c>
      <c r="G56" s="641">
        <f>MIN($D$10,$A$13)*0.299999999999999</f>
        <v>8.4599999999999707</v>
      </c>
      <c r="H56" s="641">
        <f t="shared" si="4"/>
        <v>1.1861702127659577</v>
      </c>
    </row>
    <row r="57" spans="1:15" hidden="1">
      <c r="A57" s="631">
        <f t="shared" si="0"/>
        <v>9.3911999999999676</v>
      </c>
      <c r="B57" s="631">
        <f t="shared" ca="1" si="5"/>
        <v>2611.6</v>
      </c>
      <c r="C57" s="641">
        <f t="shared" si="1"/>
        <v>6.7845471859895416E-3</v>
      </c>
      <c r="D57" s="641">
        <f t="shared" si="2"/>
        <v>1.0913665994897916</v>
      </c>
      <c r="E57" s="641">
        <f t="shared" ca="1" si="3"/>
        <v>-49125.719888</v>
      </c>
      <c r="F57" s="641">
        <f t="shared" ca="1" si="6"/>
        <v>2611.6</v>
      </c>
      <c r="G57" s="641">
        <f>MIN($D$10,$A$13)*0.279999999999999</f>
        <v>7.8959999999999724</v>
      </c>
      <c r="H57" s="641">
        <f t="shared" si="4"/>
        <v>1.1893617021276597</v>
      </c>
    </row>
    <row r="58" spans="1:15" hidden="1">
      <c r="A58" s="631">
        <f t="shared" si="0"/>
        <v>8.7437999999999683</v>
      </c>
      <c r="B58" s="631">
        <f t="shared" ca="1" si="5"/>
        <v>2628.2</v>
      </c>
      <c r="C58" s="641">
        <f t="shared" si="1"/>
        <v>6.7271711960828189E-3</v>
      </c>
      <c r="D58" s="641">
        <f t="shared" si="2"/>
        <v>1.0134118423833778</v>
      </c>
      <c r="E58" s="641">
        <f t="shared" ca="1" si="3"/>
        <v>-49132.161331999996</v>
      </c>
      <c r="F58" s="641">
        <f t="shared" ca="1" si="6"/>
        <v>2628.2</v>
      </c>
      <c r="G58" s="641">
        <f>MIN($D$10,$A$13)*0.259999999999999</f>
        <v>7.3319999999999723</v>
      </c>
      <c r="H58" s="641">
        <f t="shared" si="4"/>
        <v>1.1925531914893619</v>
      </c>
    </row>
    <row r="59" spans="1:15" hidden="1">
      <c r="A59" s="631">
        <f t="shared" si="0"/>
        <v>8.0927999999999667</v>
      </c>
      <c r="B59" s="631">
        <f t="shared" ca="1" si="5"/>
        <v>2644.2</v>
      </c>
      <c r="C59" s="641">
        <f t="shared" si="1"/>
        <v>6.6740452795025201E-3</v>
      </c>
      <c r="D59" s="641">
        <f t="shared" si="2"/>
        <v>0.9354570852769637</v>
      </c>
      <c r="E59" s="641">
        <f t="shared" ca="1" si="3"/>
        <v>-49138.125631999996</v>
      </c>
      <c r="F59" s="641">
        <f t="shared" ca="1" si="6"/>
        <v>2644.2</v>
      </c>
      <c r="G59" s="641">
        <f>MIN($D$10,$A$13)*0.239999999999999</f>
        <v>6.7679999999999714</v>
      </c>
      <c r="H59" s="641">
        <f t="shared" si="4"/>
        <v>1.1957446808510639</v>
      </c>
    </row>
    <row r="60" spans="1:15" hidden="1">
      <c r="A60" s="631">
        <f t="shared" si="0"/>
        <v>7.4381999999999664</v>
      </c>
      <c r="B60" s="631">
        <f t="shared" ca="1" si="5"/>
        <v>2659.6</v>
      </c>
      <c r="C60" s="641">
        <f t="shared" si="1"/>
        <v>6.625169436248645E-3</v>
      </c>
      <c r="D60" s="641">
        <f t="shared" si="2"/>
        <v>0.85750232817054961</v>
      </c>
      <c r="E60" s="641">
        <f t="shared" ca="1" si="3"/>
        <v>-49143.612787999999</v>
      </c>
      <c r="F60" s="641">
        <f t="shared" ca="1" si="6"/>
        <v>2659.6</v>
      </c>
      <c r="G60" s="641">
        <f>MIN($D$10,$A$13)*0.219999999999999</f>
        <v>6.2039999999999713</v>
      </c>
      <c r="H60" s="641">
        <f t="shared" si="4"/>
        <v>1.1989361702127661</v>
      </c>
    </row>
    <row r="61" spans="1:15" hidden="1">
      <c r="A61" s="631">
        <f t="shared" si="0"/>
        <v>6.7799999999999683</v>
      </c>
      <c r="B61" s="631">
        <f t="shared" ca="1" si="5"/>
        <v>2674.3</v>
      </c>
      <c r="C61" s="641">
        <f t="shared" si="1"/>
        <v>6.5805436663211947E-3</v>
      </c>
      <c r="D61" s="641">
        <f t="shared" si="2"/>
        <v>0.77954757106413586</v>
      </c>
      <c r="E61" s="641">
        <f t="shared" ca="1" si="3"/>
        <v>-49148.622799999997</v>
      </c>
      <c r="F61" s="641">
        <f t="shared" ca="1" si="6"/>
        <v>2674.3</v>
      </c>
      <c r="G61" s="641">
        <f>MIN($D$10,$A$13)*0.199999999999999</f>
        <v>5.6399999999999721</v>
      </c>
      <c r="H61" s="641">
        <f t="shared" si="4"/>
        <v>1.2021276595744683</v>
      </c>
    </row>
    <row r="62" spans="1:15" hidden="1">
      <c r="A62" s="631">
        <f t="shared" si="0"/>
        <v>6.1181999999999661</v>
      </c>
      <c r="B62" s="631">
        <f t="shared" ca="1" si="5"/>
        <v>2688.3</v>
      </c>
      <c r="C62" s="641">
        <f t="shared" si="1"/>
        <v>6.5401679697201674E-3</v>
      </c>
      <c r="D62" s="641">
        <f t="shared" si="2"/>
        <v>0.70159281395772177</v>
      </c>
      <c r="E62" s="641">
        <f t="shared" ca="1" si="3"/>
        <v>-49153.155667999999</v>
      </c>
      <c r="F62" s="641">
        <f t="shared" ca="1" si="6"/>
        <v>2688.3</v>
      </c>
      <c r="G62" s="641">
        <f>MIN($D$10,$A$13)*0.179999999999999</f>
        <v>5.0759999999999712</v>
      </c>
      <c r="H62" s="641">
        <f t="shared" si="4"/>
        <v>1.2053191489361703</v>
      </c>
    </row>
    <row r="63" spans="1:15" hidden="1">
      <c r="A63" s="631">
        <f t="shared" si="0"/>
        <v>5.452799999999967</v>
      </c>
      <c r="B63" s="631">
        <f t="shared" ca="1" si="5"/>
        <v>2701.6</v>
      </c>
      <c r="C63" s="641">
        <f t="shared" si="1"/>
        <v>6.5040423464455639E-3</v>
      </c>
      <c r="D63" s="641">
        <f t="shared" si="2"/>
        <v>0.6236380568513078</v>
      </c>
      <c r="E63" s="641">
        <f t="shared" ca="1" si="3"/>
        <v>-49157.211391999997</v>
      </c>
      <c r="F63" s="641">
        <f t="shared" ca="1" si="6"/>
        <v>2701.6</v>
      </c>
      <c r="G63" s="641">
        <f>MIN($D$10,$A$13)*0.159999999999999</f>
        <v>4.511999999999972</v>
      </c>
      <c r="H63" s="641">
        <f t="shared" si="4"/>
        <v>1.2085106382978725</v>
      </c>
    </row>
    <row r="64" spans="1:15" hidden="1">
      <c r="A64" s="631">
        <f t="shared" si="0"/>
        <v>4.7837999999999665</v>
      </c>
      <c r="B64" s="631">
        <f t="shared" ca="1" si="5"/>
        <v>2714.2</v>
      </c>
      <c r="C64" s="641">
        <f t="shared" si="1"/>
        <v>6.4721667964973851E-3</v>
      </c>
      <c r="D64" s="641">
        <f t="shared" si="2"/>
        <v>0.54568329974489382</v>
      </c>
      <c r="E64" s="641">
        <f t="shared" ca="1" si="3"/>
        <v>-49160.789971999999</v>
      </c>
      <c r="F64" s="641">
        <f t="shared" ca="1" si="6"/>
        <v>2714.2</v>
      </c>
      <c r="G64" s="641">
        <f>MIN($D$10,$A$13)*0.139999999999999</f>
        <v>3.9479999999999715</v>
      </c>
      <c r="H64" s="641">
        <f t="shared" si="4"/>
        <v>1.2117021276595747</v>
      </c>
    </row>
    <row r="65" spans="1:8" hidden="1">
      <c r="A65" s="631">
        <f t="shared" si="0"/>
        <v>4.1111999999999655</v>
      </c>
      <c r="B65" s="631">
        <f t="shared" ca="1" si="5"/>
        <v>2726</v>
      </c>
      <c r="C65" s="641">
        <f t="shared" si="1"/>
        <v>6.4445413198756293E-3</v>
      </c>
      <c r="D65" s="641">
        <f t="shared" si="2"/>
        <v>0.46772854263847985</v>
      </c>
      <c r="E65" s="641">
        <f t="shared" ca="1" si="3"/>
        <v>-49163.891407999996</v>
      </c>
      <c r="F65" s="641">
        <f t="shared" ca="1" si="6"/>
        <v>2726</v>
      </c>
      <c r="G65" s="641">
        <f>MIN($D$10,$A$13)*0.119999999999999</f>
        <v>3.3839999999999715</v>
      </c>
      <c r="H65" s="641">
        <f t="shared" si="4"/>
        <v>1.2148936170212767</v>
      </c>
    </row>
    <row r="66" spans="1:8" hidden="1">
      <c r="A66" s="631">
        <f t="shared" si="0"/>
        <v>3.4349999999999663</v>
      </c>
      <c r="B66" s="631">
        <f t="shared" ca="1" si="5"/>
        <v>2736.9</v>
      </c>
      <c r="C66" s="641">
        <f t="shared" si="1"/>
        <v>6.4211659165802982E-3</v>
      </c>
      <c r="D66" s="641">
        <f t="shared" si="2"/>
        <v>0.38977378553206599</v>
      </c>
      <c r="E66" s="641">
        <f t="shared" ca="1" si="3"/>
        <v>-49166.515699999996</v>
      </c>
      <c r="F66" s="641">
        <f t="shared" ca="1" si="6"/>
        <v>2736.9</v>
      </c>
      <c r="G66" s="641">
        <f>MIN($D$10,$A$13)*0.099999999999999</f>
        <v>2.8199999999999719</v>
      </c>
      <c r="H66" s="641">
        <f t="shared" si="4"/>
        <v>1.218085106382979</v>
      </c>
    </row>
    <row r="67" spans="1:8" hidden="1">
      <c r="A67" s="631">
        <f t="shared" si="0"/>
        <v>2.7551999999999657</v>
      </c>
      <c r="B67" s="631">
        <f t="shared" ca="1" si="5"/>
        <v>2747.1</v>
      </c>
      <c r="C67" s="641">
        <f t="shared" si="1"/>
        <v>6.4020405866113909E-3</v>
      </c>
      <c r="D67" s="641">
        <f t="shared" si="2"/>
        <v>0.31181902842565201</v>
      </c>
      <c r="E67" s="641">
        <f t="shared" ca="1" si="3"/>
        <v>-49168.662847999993</v>
      </c>
      <c r="F67" s="641">
        <f t="shared" ca="1" si="6"/>
        <v>2747.1</v>
      </c>
      <c r="G67" s="641">
        <f>MIN($D$10,$A$13)*0.079999999999999</f>
        <v>2.2559999999999718</v>
      </c>
      <c r="H67" s="641">
        <f t="shared" si="4"/>
        <v>1.2212765957446809</v>
      </c>
    </row>
    <row r="68" spans="1:8" hidden="1">
      <c r="A68" s="631">
        <f t="shared" si="0"/>
        <v>2.0717999999999623</v>
      </c>
      <c r="B68" s="631">
        <f t="shared" ca="1" si="5"/>
        <v>2756.3</v>
      </c>
      <c r="C68" s="641">
        <f t="shared" si="1"/>
        <v>6.3871653299689074E-3</v>
      </c>
      <c r="D68" s="641">
        <f t="shared" si="2"/>
        <v>0.23386427131923762</v>
      </c>
      <c r="E68" s="641">
        <f t="shared" ca="1" si="3"/>
        <v>-49170.332852</v>
      </c>
      <c r="F68" s="641">
        <f t="shared" ca="1" si="6"/>
        <v>2756.3</v>
      </c>
      <c r="G68" s="641">
        <f>MIN($D$10,$A$13)*0.0599999999999989</f>
        <v>1.6919999999999691</v>
      </c>
      <c r="H68" s="641">
        <f t="shared" si="4"/>
        <v>1.2244680851063832</v>
      </c>
    </row>
    <row r="69" spans="1:8" hidden="1">
      <c r="A69" s="631">
        <f t="shared" si="0"/>
        <v>1.3847999999999658</v>
      </c>
      <c r="B69" s="631">
        <f t="shared" ca="1" si="5"/>
        <v>2764.7</v>
      </c>
      <c r="C69" s="641">
        <f t="shared" si="1"/>
        <v>6.3765401466528478E-3</v>
      </c>
      <c r="D69" s="641">
        <f t="shared" si="2"/>
        <v>0.15590951421282406</v>
      </c>
      <c r="E69" s="641">
        <f t="shared" ca="1" si="3"/>
        <v>-49171.525711999995</v>
      </c>
      <c r="F69" s="641">
        <f t="shared" ca="1" si="6"/>
        <v>2764.7</v>
      </c>
      <c r="G69" s="641">
        <f>MIN($D$10,$A$13)*0.039999999999999</f>
        <v>1.1279999999999719</v>
      </c>
      <c r="H69" s="641">
        <f t="shared" si="4"/>
        <v>1.2276595744680854</v>
      </c>
    </row>
    <row r="70" spans="1:8" hidden="1">
      <c r="A70" s="631">
        <f t="shared" si="0"/>
        <v>0.6941999999999654</v>
      </c>
      <c r="B70" s="631">
        <f t="shared" ca="1" si="5"/>
        <v>2772.2</v>
      </c>
      <c r="C70" s="641">
        <f t="shared" si="1"/>
        <v>6.3701650366632121E-3</v>
      </c>
      <c r="D70" s="641">
        <f t="shared" si="2"/>
        <v>7.7954757106410075E-2</v>
      </c>
      <c r="E70" s="641">
        <f t="shared" ca="1" si="3"/>
        <v>-49172.241427999994</v>
      </c>
      <c r="F70" s="641">
        <f t="shared" ca="1" si="6"/>
        <v>2772.2</v>
      </c>
      <c r="G70" s="641">
        <f>MIN($D$10,$A$13)*0.019999999999999</f>
        <v>0.56399999999997186</v>
      </c>
      <c r="H70" s="641">
        <f t="shared" si="4"/>
        <v>1.2308510638297874</v>
      </c>
    </row>
    <row r="71" spans="1:8" hidden="1">
      <c r="A71" s="631">
        <f>G71*($G$10/$H$10+($G$10/$H$10-$I$10/$D$10)/$D$10*G71)</f>
        <v>0</v>
      </c>
      <c r="B71" s="631">
        <f t="shared" ca="1" si="5"/>
        <v>2778.8</v>
      </c>
      <c r="C71" s="641">
        <f t="shared" si="1"/>
        <v>6.3680400000000002E-3</v>
      </c>
      <c r="D71" s="641">
        <f t="shared" si="2"/>
        <v>0</v>
      </c>
      <c r="E71" s="641">
        <f t="shared" ca="1" si="3"/>
        <v>-49172.479999999996</v>
      </c>
      <c r="F71" s="641">
        <f t="shared" ca="1" si="6"/>
        <v>2778.8</v>
      </c>
      <c r="G71" s="641">
        <f>MIN($D$10,$A$13)*0</f>
        <v>0</v>
      </c>
      <c r="H71" s="641"/>
    </row>
    <row r="72" spans="1:8" hidden="1">
      <c r="A72" s="633"/>
      <c r="B72" s="631"/>
      <c r="C72" s="645"/>
      <c r="D72" s="645"/>
      <c r="E72" s="645"/>
      <c r="F72" s="645"/>
      <c r="G72" s="645"/>
      <c r="H72" s="641"/>
    </row>
    <row r="73" spans="1:8" hidden="1">
      <c r="A73" s="631"/>
      <c r="B73" s="631">
        <f t="shared" ca="1" si="5"/>
        <v>2677</v>
      </c>
      <c r="C73" s="641">
        <f>($C$10^2)/1000000+(($B$10/1000)^2*G73^2*PI()*PI()*($E$10/2)^2)/1200</f>
        <v>6.5738796767025936E-3</v>
      </c>
      <c r="D73" s="641">
        <f>SQRT(3)*$C$10*$A$10*G73/1000</f>
        <v>0.76722713531456266</v>
      </c>
      <c r="E73" s="641">
        <f ca="1">0.75*$A$10^2*G73^2-($C$2/SQRT(2)*0.98)^2</f>
        <v>-49149.370947718489</v>
      </c>
      <c r="F73" s="641">
        <f ca="1">ROUND((-D73/2/C73+SQRT((D73/2/C73)^2-E73/C73)),0)</f>
        <v>2677</v>
      </c>
      <c r="G73" s="641">
        <f>MIN(B13,H10/G10*C83)</f>
        <v>5.5508620689655173</v>
      </c>
      <c r="H73" s="641"/>
    </row>
    <row r="74" spans="1:8" hidden="1">
      <c r="A74" s="633"/>
      <c r="B74" s="633"/>
      <c r="C74" s="641"/>
      <c r="D74" s="641"/>
      <c r="E74" s="641"/>
      <c r="F74" s="641"/>
      <c r="G74" s="641"/>
      <c r="H74" s="641"/>
    </row>
    <row r="75" spans="1:8" hidden="1"/>
    <row r="76" spans="1:8" hidden="1">
      <c r="A76" s="586" t="s">
        <v>1809</v>
      </c>
    </row>
    <row r="77" spans="1:8" hidden="1">
      <c r="A77" s="586" t="s">
        <v>1810</v>
      </c>
      <c r="B77" s="586" t="s">
        <v>1772</v>
      </c>
    </row>
    <row r="78" spans="1:8" hidden="1">
      <c r="A78" s="586">
        <f ca="1">IF(D78&gt;$B$71,"",C78)</f>
        <v>11.6</v>
      </c>
      <c r="B78" s="586">
        <f ca="1">IF(D78&gt;$B$71,"",D78)</f>
        <v>0</v>
      </c>
      <c r="C78" s="586">
        <f>G10</f>
        <v>11.6</v>
      </c>
      <c r="D78" s="586">
        <v>0</v>
      </c>
      <c r="E78" s="586">
        <v>0</v>
      </c>
      <c r="F78" s="586">
        <f t="shared" ref="F78:F84" ca="1" si="7">MIN(A78,$A$154)</f>
        <v>11.6</v>
      </c>
    </row>
    <row r="79" spans="1:8" hidden="1">
      <c r="A79" s="586">
        <f ca="1">IF(D79&gt;$B$71,A78,C79)</f>
        <v>11.6</v>
      </c>
      <c r="B79" s="586">
        <f ca="1">IF(D79&gt;$B$71,B78,D79)</f>
        <v>0</v>
      </c>
      <c r="C79" s="586">
        <f>IF(VLOOKUP($A$2,Motorenmatrix,6,FALSE)=0,C78,VLOOKUP($A$2,Motorenmatrix,6,FALSE))</f>
        <v>11.6</v>
      </c>
      <c r="D79" s="586">
        <f>IF(VLOOKUP($A$2,Motorenmatrix,7,FALSE)=0,D78,VLOOKUP($A$2,Motorenmatrix,7,FALSE))</f>
        <v>0</v>
      </c>
      <c r="E79" s="586">
        <f>IF(D79-D78=0,E78,(C79-C78)/(D79-D78))</f>
        <v>0</v>
      </c>
      <c r="F79" s="586">
        <f t="shared" ca="1" si="7"/>
        <v>11.6</v>
      </c>
    </row>
    <row r="80" spans="1:8" hidden="1">
      <c r="A80" s="586">
        <f ca="1">IF(D80&gt;$B$71,A79,C80)</f>
        <v>11.6</v>
      </c>
      <c r="B80" s="586">
        <f ca="1">IF(D80&gt;$B$71,B79,D80)</f>
        <v>0</v>
      </c>
      <c r="C80" s="586">
        <f>IF(VLOOKUP($A$2,Motorenmatrix,8,FALSE)=0,C79,VLOOKUP($A$2,Motorenmatrix,8,FALSE))</f>
        <v>11.6</v>
      </c>
      <c r="D80" s="586">
        <f>IF(VLOOKUP($A$2,Motorenmatrix,9,FALSE)=0,D79,VLOOKUP($A$2,Motorenmatrix,9,FALSE))</f>
        <v>0</v>
      </c>
      <c r="E80" s="586">
        <f>IF(D80-D79=0,E79,(C80-C79)/(D80-D79))</f>
        <v>0</v>
      </c>
      <c r="F80" s="586">
        <f t="shared" ca="1" si="7"/>
        <v>11.6</v>
      </c>
    </row>
    <row r="81" spans="1:6" hidden="1">
      <c r="A81" s="586">
        <f ca="1">IF(D81&gt;$B$71,A80,C81)</f>
        <v>10.1</v>
      </c>
      <c r="B81" s="586">
        <f ca="1">IF(D81&gt;$B$71,B80,D81)</f>
        <v>2000</v>
      </c>
      <c r="C81" s="586">
        <f>IF(VLOOKUP($A$2,Motorenmatrix,10,FALSE)=0,C80,VLOOKUP($A$2,Motorenmatrix,10,FALSE))</f>
        <v>10.1</v>
      </c>
      <c r="D81" s="586">
        <f>IF(VLOOKUP($A$2,Motorenmatrix,11,FALSE)=0,D80,VLOOKUP($A$2,Motorenmatrix,11,FALSE))</f>
        <v>2000</v>
      </c>
      <c r="E81" s="586">
        <f>IF(D81-D80=0,E80,(C81-C80)/(D81-D80))</f>
        <v>-7.5000000000000002E-4</v>
      </c>
      <c r="F81" s="586">
        <f t="shared" ca="1" si="7"/>
        <v>10.1</v>
      </c>
    </row>
    <row r="82" spans="1:6" hidden="1">
      <c r="A82" s="586">
        <f ca="1">IF(D82&gt;$B$71,A81,C82)</f>
        <v>10.1</v>
      </c>
      <c r="B82" s="586">
        <f ca="1">IF(D82&gt;$B$71,B81,D82)</f>
        <v>2000</v>
      </c>
      <c r="C82" s="586">
        <f>IF(VLOOKUP($A$2,Motorenmatrix,12,FALSE)=0,C81,VLOOKUP($A$2,Motorenmatrix,12,FALSE))</f>
        <v>7.65</v>
      </c>
      <c r="D82" s="586">
        <f>IF(VLOOKUP($A$2,Motorenmatrix,13,FALSE)=0,D81,VLOOKUP($A$2,Motorenmatrix,13,FALSE))</f>
        <v>4000</v>
      </c>
      <c r="E82" s="586">
        <f>IF(D82-D81=0,E81,(C82-C81)/(D82-D81))</f>
        <v>-1.2249999999999997E-3</v>
      </c>
      <c r="F82" s="586">
        <f t="shared" ca="1" si="7"/>
        <v>10.1</v>
      </c>
    </row>
    <row r="83" spans="1:6" hidden="1">
      <c r="A83" s="586">
        <f ca="1">IF(D83&gt;$B$71,A82,C83)</f>
        <v>10.1</v>
      </c>
      <c r="B83" s="586">
        <f ca="1">IF(D83&gt;$B$71,B82,D83)</f>
        <v>2000</v>
      </c>
      <c r="C83" s="586">
        <f>IF(VLOOKUP($A$2,Motorenmatrix,14,FALSE)=0,C82,VLOOKUP($A$2,Motorenmatrix,14,FALSE))</f>
        <v>6.85</v>
      </c>
      <c r="D83" s="586">
        <f>IF(VLOOKUP($A$2,Motorenmatrix,15,FALSE)=0,D82,VLOOKUP($A$2,Motorenmatrix,15,FALSE))</f>
        <v>4500</v>
      </c>
      <c r="E83" s="586">
        <f>IF(D83-D82=0,E82,(C83-C82)/(D83-D82))</f>
        <v>-1.6000000000000014E-3</v>
      </c>
      <c r="F83" s="586">
        <f t="shared" ca="1" si="7"/>
        <v>10.1</v>
      </c>
    </row>
    <row r="84" spans="1:6" hidden="1">
      <c r="A84" s="586">
        <f ca="1">A83+(B84-B83)*E83</f>
        <v>9.0167999999999981</v>
      </c>
      <c r="B84" s="586">
        <f ca="1">B73</f>
        <v>2677</v>
      </c>
      <c r="C84" s="586">
        <f ca="1">A83+(B84-B83)*E83</f>
        <v>9.0167999999999981</v>
      </c>
      <c r="F84" s="586">
        <f t="shared" ca="1" si="7"/>
        <v>9.0167999999999981</v>
      </c>
    </row>
    <row r="85" spans="1:6" hidden="1"/>
    <row r="86" spans="1:6" hidden="1">
      <c r="A86" s="586">
        <f>C78</f>
        <v>11.6</v>
      </c>
      <c r="B86" s="586">
        <v>0</v>
      </c>
      <c r="D86" s="586">
        <f t="shared" ref="D86:D136" si="8">MIN(A86,$A$154)</f>
        <v>11.6</v>
      </c>
    </row>
    <row r="87" spans="1:6" hidden="1">
      <c r="A87" s="586">
        <f ca="1">A86+(B87-B86)*C87</f>
        <v>11.559844999999999</v>
      </c>
      <c r="B87" s="586">
        <f ca="1">0.02*$B$84</f>
        <v>53.54</v>
      </c>
      <c r="C87" s="586">
        <f ca="1">IF(B87&lt;$B$79,$E$79,IF(B87&lt;$B$80,$E$80,IF(B87&lt;$B$81,$E$81,IF(B87&lt;$B$82,$E$82,$E$83 ) ) ))</f>
        <v>-7.5000000000000002E-4</v>
      </c>
      <c r="D87" s="586">
        <f t="shared" ca="1" si="8"/>
        <v>11.559844999999999</v>
      </c>
    </row>
    <row r="88" spans="1:6" hidden="1">
      <c r="A88" s="586">
        <f t="shared" ref="A88:A135" ca="1" si="9">A87+(B88-B87)*C88</f>
        <v>11.519689999999999</v>
      </c>
      <c r="B88" s="655">
        <f ca="1">0.04*$B$84</f>
        <v>107.08</v>
      </c>
      <c r="C88" s="586">
        <f t="shared" ref="C88:C135" ca="1" si="10">IF(B88&lt;$B$79,$E$79,IF(B88&lt;$B$80,$E$80,IF(B88&lt;$B$81,$E$81,IF(B88&lt;$B$82,$E$82,$E$83 ) ) ))</f>
        <v>-7.5000000000000002E-4</v>
      </c>
      <c r="D88" s="586">
        <f t="shared" ca="1" si="8"/>
        <v>11.519689999999999</v>
      </c>
    </row>
    <row r="89" spans="1:6" hidden="1">
      <c r="A89" s="586">
        <f t="shared" ca="1" si="9"/>
        <v>11.479534999999998</v>
      </c>
      <c r="B89" s="655">
        <f ca="1">0.06*$B$84</f>
        <v>160.62</v>
      </c>
      <c r="C89" s="586">
        <f t="shared" ca="1" si="10"/>
        <v>-7.5000000000000002E-4</v>
      </c>
      <c r="D89" s="586">
        <f t="shared" ca="1" si="8"/>
        <v>11.479534999999998</v>
      </c>
    </row>
    <row r="90" spans="1:6" hidden="1">
      <c r="A90" s="586">
        <f t="shared" ca="1" si="9"/>
        <v>11.439379999999998</v>
      </c>
      <c r="B90" s="655">
        <f ca="1">0.08*$B$84</f>
        <v>214.16</v>
      </c>
      <c r="C90" s="586">
        <f t="shared" ca="1" si="10"/>
        <v>-7.5000000000000002E-4</v>
      </c>
      <c r="D90" s="586">
        <f t="shared" ca="1" si="8"/>
        <v>11.439379999999998</v>
      </c>
    </row>
    <row r="91" spans="1:6" hidden="1">
      <c r="A91" s="586">
        <f t="shared" ca="1" si="9"/>
        <v>11.399224999999998</v>
      </c>
      <c r="B91" s="655">
        <f ca="1">0.1*$B$84</f>
        <v>267.7</v>
      </c>
      <c r="C91" s="586">
        <f t="shared" ca="1" si="10"/>
        <v>-7.5000000000000002E-4</v>
      </c>
      <c r="D91" s="586">
        <f t="shared" ca="1" si="8"/>
        <v>11.399224999999998</v>
      </c>
    </row>
    <row r="92" spans="1:6" hidden="1">
      <c r="A92" s="586">
        <f t="shared" ca="1" si="9"/>
        <v>11.359069999999997</v>
      </c>
      <c r="B92" s="655">
        <f ca="1">0.12*$B$84</f>
        <v>321.24</v>
      </c>
      <c r="C92" s="586">
        <f t="shared" ca="1" si="10"/>
        <v>-7.5000000000000002E-4</v>
      </c>
      <c r="D92" s="586">
        <f t="shared" ca="1" si="8"/>
        <v>11.359069999999997</v>
      </c>
    </row>
    <row r="93" spans="1:6" hidden="1">
      <c r="A93" s="586">
        <f t="shared" ca="1" si="9"/>
        <v>11.318914999999997</v>
      </c>
      <c r="B93" s="655">
        <f ca="1">0.14*$B$84</f>
        <v>374.78000000000003</v>
      </c>
      <c r="C93" s="586">
        <f t="shared" ca="1" si="10"/>
        <v>-7.5000000000000002E-4</v>
      </c>
      <c r="D93" s="586">
        <f t="shared" ca="1" si="8"/>
        <v>11.318914999999997</v>
      </c>
    </row>
    <row r="94" spans="1:6" hidden="1">
      <c r="A94" s="586">
        <f t="shared" ca="1" si="9"/>
        <v>11.278759999999997</v>
      </c>
      <c r="B94" s="655">
        <f ca="1">0.16*$B$84</f>
        <v>428.32</v>
      </c>
      <c r="C94" s="586">
        <f t="shared" ca="1" si="10"/>
        <v>-7.5000000000000002E-4</v>
      </c>
      <c r="D94" s="586">
        <f t="shared" ca="1" si="8"/>
        <v>11.278759999999997</v>
      </c>
    </row>
    <row r="95" spans="1:6" hidden="1">
      <c r="A95" s="586">
        <f t="shared" ca="1" si="9"/>
        <v>11.238604999999996</v>
      </c>
      <c r="B95" s="655">
        <f ca="1">0.18*$B$84</f>
        <v>481.85999999999996</v>
      </c>
      <c r="C95" s="586">
        <f t="shared" ca="1" si="10"/>
        <v>-7.5000000000000002E-4</v>
      </c>
      <c r="D95" s="586">
        <f t="shared" ca="1" si="8"/>
        <v>11.238604999999996</v>
      </c>
    </row>
    <row r="96" spans="1:6" hidden="1">
      <c r="A96" s="586">
        <f t="shared" ca="1" si="9"/>
        <v>11.198449999999996</v>
      </c>
      <c r="B96" s="655">
        <f ca="1">0.2*$B$84</f>
        <v>535.4</v>
      </c>
      <c r="C96" s="586">
        <f t="shared" ca="1" si="10"/>
        <v>-7.5000000000000002E-4</v>
      </c>
      <c r="D96" s="586">
        <f t="shared" ca="1" si="8"/>
        <v>11.198449999999996</v>
      </c>
    </row>
    <row r="97" spans="1:4" hidden="1">
      <c r="A97" s="586">
        <f t="shared" ca="1" si="9"/>
        <v>11.158294999999995</v>
      </c>
      <c r="B97" s="655">
        <f ca="1">0.22*$B$84</f>
        <v>588.94000000000005</v>
      </c>
      <c r="C97" s="586">
        <f t="shared" ca="1" si="10"/>
        <v>-7.5000000000000002E-4</v>
      </c>
      <c r="D97" s="586">
        <f t="shared" ca="1" si="8"/>
        <v>11.158294999999995</v>
      </c>
    </row>
    <row r="98" spans="1:4" hidden="1">
      <c r="A98" s="586">
        <f t="shared" ca="1" si="9"/>
        <v>11.118139999999995</v>
      </c>
      <c r="B98" s="655">
        <f ca="1">0.24*$B$84</f>
        <v>642.48</v>
      </c>
      <c r="C98" s="586">
        <f t="shared" ca="1" si="10"/>
        <v>-7.5000000000000002E-4</v>
      </c>
      <c r="D98" s="586">
        <f t="shared" ca="1" si="8"/>
        <v>11.118139999999995</v>
      </c>
    </row>
    <row r="99" spans="1:4" hidden="1">
      <c r="A99" s="586">
        <f t="shared" ca="1" si="9"/>
        <v>11.077984999999995</v>
      </c>
      <c r="B99" s="655">
        <f ca="1">0.26*$B$84</f>
        <v>696.02</v>
      </c>
      <c r="C99" s="586">
        <f t="shared" ca="1" si="10"/>
        <v>-7.5000000000000002E-4</v>
      </c>
      <c r="D99" s="586">
        <f t="shared" ca="1" si="8"/>
        <v>11.077984999999995</v>
      </c>
    </row>
    <row r="100" spans="1:4" hidden="1">
      <c r="A100" s="586">
        <f t="shared" ca="1" si="9"/>
        <v>11.037829999999994</v>
      </c>
      <c r="B100" s="655">
        <f ca="1">0.28*$B$84</f>
        <v>749.56000000000006</v>
      </c>
      <c r="C100" s="586">
        <f t="shared" ca="1" si="10"/>
        <v>-7.5000000000000002E-4</v>
      </c>
      <c r="D100" s="586">
        <f t="shared" ca="1" si="8"/>
        <v>11.037829999999994</v>
      </c>
    </row>
    <row r="101" spans="1:4" hidden="1">
      <c r="A101" s="586">
        <f t="shared" ca="1" si="9"/>
        <v>10.997674999999994</v>
      </c>
      <c r="B101" s="655">
        <f ca="1">0.3*$B$84</f>
        <v>803.1</v>
      </c>
      <c r="C101" s="586">
        <f t="shared" ca="1" si="10"/>
        <v>-7.5000000000000002E-4</v>
      </c>
      <c r="D101" s="586">
        <f t="shared" ca="1" si="8"/>
        <v>10.997674999999994</v>
      </c>
    </row>
    <row r="102" spans="1:4" hidden="1">
      <c r="A102" s="586">
        <f t="shared" ca="1" si="9"/>
        <v>10.957519999999993</v>
      </c>
      <c r="B102" s="655">
        <f ca="1">0.32*$B$84</f>
        <v>856.64</v>
      </c>
      <c r="C102" s="586">
        <f t="shared" ca="1" si="10"/>
        <v>-7.5000000000000002E-4</v>
      </c>
      <c r="D102" s="586">
        <f t="shared" ca="1" si="8"/>
        <v>10.957519999999993</v>
      </c>
    </row>
    <row r="103" spans="1:4" hidden="1">
      <c r="A103" s="586">
        <f t="shared" ca="1" si="9"/>
        <v>10.917364999999993</v>
      </c>
      <c r="B103" s="655">
        <f ca="1">0.34*$B$84</f>
        <v>910.18000000000006</v>
      </c>
      <c r="C103" s="586">
        <f t="shared" ca="1" si="10"/>
        <v>-7.5000000000000002E-4</v>
      </c>
      <c r="D103" s="586">
        <f t="shared" ca="1" si="8"/>
        <v>10.917364999999993</v>
      </c>
    </row>
    <row r="104" spans="1:4" hidden="1">
      <c r="A104" s="586">
        <f t="shared" ca="1" si="9"/>
        <v>10.877209999999993</v>
      </c>
      <c r="B104" s="655">
        <f ca="1">0.36*$B$84</f>
        <v>963.71999999999991</v>
      </c>
      <c r="C104" s="586">
        <f t="shared" ca="1" si="10"/>
        <v>-7.5000000000000002E-4</v>
      </c>
      <c r="D104" s="586">
        <f t="shared" ca="1" si="8"/>
        <v>10.877209999999993</v>
      </c>
    </row>
    <row r="105" spans="1:4" hidden="1">
      <c r="A105" s="586">
        <f t="shared" ca="1" si="9"/>
        <v>10.837054999999992</v>
      </c>
      <c r="B105" s="655">
        <f ca="1">0.38*$B$84</f>
        <v>1017.26</v>
      </c>
      <c r="C105" s="586">
        <f t="shared" ca="1" si="10"/>
        <v>-7.5000000000000002E-4</v>
      </c>
      <c r="D105" s="586">
        <f t="shared" ca="1" si="8"/>
        <v>10.837054999999992</v>
      </c>
    </row>
    <row r="106" spans="1:4" hidden="1">
      <c r="A106" s="586">
        <f t="shared" ca="1" si="9"/>
        <v>10.796899999999992</v>
      </c>
      <c r="B106" s="655">
        <f ca="1">0.4*$B$84</f>
        <v>1070.8</v>
      </c>
      <c r="C106" s="586">
        <f t="shared" ca="1" si="10"/>
        <v>-7.5000000000000002E-4</v>
      </c>
      <c r="D106" s="586">
        <f t="shared" ca="1" si="8"/>
        <v>10.796899999999992</v>
      </c>
    </row>
    <row r="107" spans="1:4" hidden="1">
      <c r="A107" s="586">
        <f t="shared" ca="1" si="9"/>
        <v>10.756744999999992</v>
      </c>
      <c r="B107" s="655">
        <f ca="1">0.42*$B$84</f>
        <v>1124.3399999999999</v>
      </c>
      <c r="C107" s="586">
        <f t="shared" ca="1" si="10"/>
        <v>-7.5000000000000002E-4</v>
      </c>
      <c r="D107" s="586">
        <f t="shared" ca="1" si="8"/>
        <v>10.756744999999992</v>
      </c>
    </row>
    <row r="108" spans="1:4" hidden="1">
      <c r="A108" s="586">
        <f t="shared" ca="1" si="9"/>
        <v>10.716589999999991</v>
      </c>
      <c r="B108" s="655">
        <f ca="1">0.44*$B$84</f>
        <v>1177.8800000000001</v>
      </c>
      <c r="C108" s="586">
        <f t="shared" ca="1" si="10"/>
        <v>-7.5000000000000002E-4</v>
      </c>
      <c r="D108" s="586">
        <f t="shared" ca="1" si="8"/>
        <v>10.716589999999991</v>
      </c>
    </row>
    <row r="109" spans="1:4" hidden="1">
      <c r="A109" s="586">
        <f t="shared" ca="1" si="9"/>
        <v>10.676434999999991</v>
      </c>
      <c r="B109" s="655">
        <f ca="1">0.46*$B$84</f>
        <v>1231.42</v>
      </c>
      <c r="C109" s="586">
        <f t="shared" ca="1" si="10"/>
        <v>-7.5000000000000002E-4</v>
      </c>
      <c r="D109" s="586">
        <f t="shared" ca="1" si="8"/>
        <v>10.676434999999991</v>
      </c>
    </row>
    <row r="110" spans="1:4" hidden="1">
      <c r="A110" s="586">
        <f t="shared" ca="1" si="9"/>
        <v>10.63627999999999</v>
      </c>
      <c r="B110" s="655">
        <f ca="1">0.48*$B$84</f>
        <v>1284.96</v>
      </c>
      <c r="C110" s="586">
        <f t="shared" ca="1" si="10"/>
        <v>-7.5000000000000002E-4</v>
      </c>
      <c r="D110" s="586">
        <f t="shared" ca="1" si="8"/>
        <v>10.63627999999999</v>
      </c>
    </row>
    <row r="111" spans="1:4" hidden="1">
      <c r="A111" s="586">
        <f t="shared" ca="1" si="9"/>
        <v>10.59612499999999</v>
      </c>
      <c r="B111" s="655">
        <f ca="1">0.5*$B$84</f>
        <v>1338.5</v>
      </c>
      <c r="C111" s="586">
        <f t="shared" ca="1" si="10"/>
        <v>-7.5000000000000002E-4</v>
      </c>
      <c r="D111" s="586">
        <f t="shared" ca="1" si="8"/>
        <v>10.59612499999999</v>
      </c>
    </row>
    <row r="112" spans="1:4" hidden="1">
      <c r="A112" s="586">
        <f t="shared" ca="1" si="9"/>
        <v>10.55596999999999</v>
      </c>
      <c r="B112" s="655">
        <f ca="1">0.52*$B$84</f>
        <v>1392.04</v>
      </c>
      <c r="C112" s="586">
        <f t="shared" ca="1" si="10"/>
        <v>-7.5000000000000002E-4</v>
      </c>
      <c r="D112" s="586">
        <f t="shared" ca="1" si="8"/>
        <v>10.55596999999999</v>
      </c>
    </row>
    <row r="113" spans="1:4" hidden="1">
      <c r="A113" s="586">
        <f t="shared" ca="1" si="9"/>
        <v>10.515814999999989</v>
      </c>
      <c r="B113" s="655">
        <f ca="1">0.54*$B$84</f>
        <v>1445.5800000000002</v>
      </c>
      <c r="C113" s="586">
        <f t="shared" ca="1" si="10"/>
        <v>-7.5000000000000002E-4</v>
      </c>
      <c r="D113" s="586">
        <f t="shared" ca="1" si="8"/>
        <v>10.515814999999989</v>
      </c>
    </row>
    <row r="114" spans="1:4" hidden="1">
      <c r="A114" s="586">
        <f t="shared" ca="1" si="9"/>
        <v>10.475659999999989</v>
      </c>
      <c r="B114" s="655">
        <f ca="1">0.56*$B$84</f>
        <v>1499.1200000000001</v>
      </c>
      <c r="C114" s="586">
        <f t="shared" ca="1" si="10"/>
        <v>-7.5000000000000002E-4</v>
      </c>
      <c r="D114" s="586">
        <f t="shared" ca="1" si="8"/>
        <v>10.475659999999989</v>
      </c>
    </row>
    <row r="115" spans="1:4" hidden="1">
      <c r="A115" s="586">
        <f t="shared" ca="1" si="9"/>
        <v>10.435504999999988</v>
      </c>
      <c r="B115" s="655">
        <f ca="1">0.58*$B$84</f>
        <v>1552.6599999999999</v>
      </c>
      <c r="C115" s="586">
        <f t="shared" ca="1" si="10"/>
        <v>-7.5000000000000002E-4</v>
      </c>
      <c r="D115" s="586">
        <f t="shared" ca="1" si="8"/>
        <v>10.435504999999988</v>
      </c>
    </row>
    <row r="116" spans="1:4" hidden="1">
      <c r="A116" s="586">
        <f t="shared" ca="1" si="9"/>
        <v>10.395349999999988</v>
      </c>
      <c r="B116" s="655">
        <f ca="1">0.6*$B$84</f>
        <v>1606.2</v>
      </c>
      <c r="C116" s="586">
        <f t="shared" ca="1" si="10"/>
        <v>-7.5000000000000002E-4</v>
      </c>
      <c r="D116" s="586">
        <f t="shared" ca="1" si="8"/>
        <v>10.395349999999988</v>
      </c>
    </row>
    <row r="117" spans="1:4" hidden="1">
      <c r="A117" s="586">
        <f t="shared" ca="1" si="9"/>
        <v>10.355194999999988</v>
      </c>
      <c r="B117" s="655">
        <f ca="1">0.62*$B$84</f>
        <v>1659.74</v>
      </c>
      <c r="C117" s="586">
        <f t="shared" ca="1" si="10"/>
        <v>-7.5000000000000002E-4</v>
      </c>
      <c r="D117" s="586">
        <f t="shared" ca="1" si="8"/>
        <v>10.355194999999988</v>
      </c>
    </row>
    <row r="118" spans="1:4" hidden="1">
      <c r="A118" s="586">
        <f t="shared" ca="1" si="9"/>
        <v>10.315039999999987</v>
      </c>
      <c r="B118" s="655">
        <f ca="1">0.64*$B$84</f>
        <v>1713.28</v>
      </c>
      <c r="C118" s="586">
        <f t="shared" ca="1" si="10"/>
        <v>-7.5000000000000002E-4</v>
      </c>
      <c r="D118" s="586">
        <f t="shared" ca="1" si="8"/>
        <v>10.315039999999987</v>
      </c>
    </row>
    <row r="119" spans="1:4" hidden="1">
      <c r="A119" s="586">
        <f t="shared" ca="1" si="9"/>
        <v>10.274884999999987</v>
      </c>
      <c r="B119" s="655">
        <f ca="1">0.66*$B$84</f>
        <v>1766.8200000000002</v>
      </c>
      <c r="C119" s="586">
        <f t="shared" ca="1" si="10"/>
        <v>-7.5000000000000002E-4</v>
      </c>
      <c r="D119" s="586">
        <f t="shared" ca="1" si="8"/>
        <v>10.274884999999987</v>
      </c>
    </row>
    <row r="120" spans="1:4" hidden="1">
      <c r="A120" s="586">
        <f t="shared" ca="1" si="9"/>
        <v>10.234729999999987</v>
      </c>
      <c r="B120" s="655">
        <f ca="1">0.68*$B$84</f>
        <v>1820.3600000000001</v>
      </c>
      <c r="C120" s="586">
        <f t="shared" ca="1" si="10"/>
        <v>-7.5000000000000002E-4</v>
      </c>
      <c r="D120" s="586">
        <f t="shared" ca="1" si="8"/>
        <v>10.234729999999987</v>
      </c>
    </row>
    <row r="121" spans="1:4" hidden="1">
      <c r="A121" s="586">
        <f t="shared" ca="1" si="9"/>
        <v>10.194574999999986</v>
      </c>
      <c r="B121" s="655">
        <f ca="1">0.7*$B$84</f>
        <v>1873.8999999999999</v>
      </c>
      <c r="C121" s="586">
        <f t="shared" ca="1" si="10"/>
        <v>-7.5000000000000002E-4</v>
      </c>
      <c r="D121" s="586">
        <f t="shared" ca="1" si="8"/>
        <v>10.194574999999986</v>
      </c>
    </row>
    <row r="122" spans="1:4" hidden="1">
      <c r="A122" s="586">
        <f t="shared" ca="1" si="9"/>
        <v>10.154419999999986</v>
      </c>
      <c r="B122" s="655">
        <f ca="1">0.72*$B$84</f>
        <v>1927.4399999999998</v>
      </c>
      <c r="C122" s="586">
        <f t="shared" ca="1" si="10"/>
        <v>-7.5000000000000002E-4</v>
      </c>
      <c r="D122" s="586">
        <f t="shared" ca="1" si="8"/>
        <v>10.154419999999986</v>
      </c>
    </row>
    <row r="123" spans="1:4" hidden="1">
      <c r="A123" s="586">
        <f t="shared" ca="1" si="9"/>
        <v>10.114264999999985</v>
      </c>
      <c r="B123" s="655">
        <f ca="1">0.74*$B$84</f>
        <v>1980.98</v>
      </c>
      <c r="C123" s="586">
        <f t="shared" ca="1" si="10"/>
        <v>-7.5000000000000002E-4</v>
      </c>
      <c r="D123" s="586">
        <f t="shared" ca="1" si="8"/>
        <v>10.114264999999985</v>
      </c>
    </row>
    <row r="124" spans="1:4" hidden="1">
      <c r="A124" s="586">
        <f t="shared" ca="1" si="9"/>
        <v>10.028600999999986</v>
      </c>
      <c r="B124" s="655">
        <f ca="1">0.76*$B$84</f>
        <v>2034.52</v>
      </c>
      <c r="C124" s="586">
        <f t="shared" ca="1" si="10"/>
        <v>-1.6000000000000014E-3</v>
      </c>
      <c r="D124" s="586">
        <f t="shared" ca="1" si="8"/>
        <v>10.028600999999986</v>
      </c>
    </row>
    <row r="125" spans="1:4" hidden="1">
      <c r="A125" s="586">
        <f t="shared" ca="1" si="9"/>
        <v>9.9429369999999864</v>
      </c>
      <c r="B125" s="655">
        <f ca="1">0.78*$B$84</f>
        <v>2088.06</v>
      </c>
      <c r="C125" s="586">
        <f t="shared" ca="1" si="10"/>
        <v>-1.6000000000000014E-3</v>
      </c>
      <c r="D125" s="586">
        <f t="shared" ca="1" si="8"/>
        <v>9.9429369999999864</v>
      </c>
    </row>
    <row r="126" spans="1:4" hidden="1">
      <c r="A126" s="586">
        <f t="shared" ca="1" si="9"/>
        <v>9.8572729999999869</v>
      </c>
      <c r="B126" s="655">
        <f ca="1">0.8*$B$84</f>
        <v>2141.6</v>
      </c>
      <c r="C126" s="586">
        <f t="shared" ca="1" si="10"/>
        <v>-1.6000000000000014E-3</v>
      </c>
      <c r="D126" s="586">
        <f t="shared" ca="1" si="8"/>
        <v>9.8572729999999869</v>
      </c>
    </row>
    <row r="127" spans="1:4" hidden="1">
      <c r="A127" s="586">
        <f t="shared" ca="1" si="9"/>
        <v>9.7716089999999873</v>
      </c>
      <c r="B127" s="655">
        <f ca="1">0.82*$B$84</f>
        <v>2195.14</v>
      </c>
      <c r="C127" s="586">
        <f t="shared" ca="1" si="10"/>
        <v>-1.6000000000000014E-3</v>
      </c>
      <c r="D127" s="586">
        <f t="shared" ca="1" si="8"/>
        <v>9.7716089999999873</v>
      </c>
    </row>
    <row r="128" spans="1:4" hidden="1">
      <c r="A128" s="586">
        <f t="shared" ca="1" si="9"/>
        <v>9.6859449999999878</v>
      </c>
      <c r="B128" s="655">
        <f ca="1">0.84*$B$84</f>
        <v>2248.6799999999998</v>
      </c>
      <c r="C128" s="586">
        <f t="shared" ca="1" si="10"/>
        <v>-1.6000000000000014E-3</v>
      </c>
      <c r="D128" s="586">
        <f t="shared" ca="1" si="8"/>
        <v>9.6859449999999878</v>
      </c>
    </row>
    <row r="129" spans="1:5" hidden="1">
      <c r="A129" s="586">
        <f t="shared" ca="1" si="9"/>
        <v>9.6002809999999883</v>
      </c>
      <c r="B129" s="655">
        <f ca="1">0.86*$B$84</f>
        <v>2302.2199999999998</v>
      </c>
      <c r="C129" s="586">
        <f t="shared" ca="1" si="10"/>
        <v>-1.6000000000000014E-3</v>
      </c>
      <c r="D129" s="586">
        <f t="shared" ca="1" si="8"/>
        <v>9.6002809999999883</v>
      </c>
    </row>
    <row r="130" spans="1:5" hidden="1">
      <c r="A130" s="586">
        <f t="shared" ca="1" si="9"/>
        <v>9.514616999999987</v>
      </c>
      <c r="B130" s="655">
        <f ca="1">0.88*$B$84</f>
        <v>2355.7600000000002</v>
      </c>
      <c r="C130" s="586">
        <f t="shared" ca="1" si="10"/>
        <v>-1.6000000000000014E-3</v>
      </c>
      <c r="D130" s="586">
        <f t="shared" ca="1" si="8"/>
        <v>9.514616999999987</v>
      </c>
    </row>
    <row r="131" spans="1:5" hidden="1">
      <c r="A131" s="586">
        <f t="shared" ca="1" si="9"/>
        <v>9.4289529999999875</v>
      </c>
      <c r="B131" s="655">
        <f ca="1">0.9*$B$84</f>
        <v>2409.3000000000002</v>
      </c>
      <c r="C131" s="586">
        <f t="shared" ca="1" si="10"/>
        <v>-1.6000000000000014E-3</v>
      </c>
      <c r="D131" s="586">
        <f t="shared" ca="1" si="8"/>
        <v>9.4289529999999875</v>
      </c>
    </row>
    <row r="132" spans="1:5" hidden="1">
      <c r="A132" s="586">
        <f t="shared" ca="1" si="9"/>
        <v>9.343288999999988</v>
      </c>
      <c r="B132" s="655">
        <f ca="1">0.92*$B$84</f>
        <v>2462.84</v>
      </c>
      <c r="C132" s="586">
        <f t="shared" ca="1" si="10"/>
        <v>-1.6000000000000014E-3</v>
      </c>
      <c r="D132" s="586">
        <f t="shared" ca="1" si="8"/>
        <v>9.343288999999988</v>
      </c>
    </row>
    <row r="133" spans="1:5" hidden="1">
      <c r="A133" s="586">
        <f t="shared" ca="1" si="9"/>
        <v>9.2576249999999884</v>
      </c>
      <c r="B133" s="655">
        <f ca="1">0.94*$B$84</f>
        <v>2516.3799999999997</v>
      </c>
      <c r="C133" s="586">
        <f t="shared" ca="1" si="10"/>
        <v>-1.6000000000000014E-3</v>
      </c>
      <c r="D133" s="586">
        <f t="shared" ca="1" si="8"/>
        <v>9.2576249999999884</v>
      </c>
    </row>
    <row r="134" spans="1:5" hidden="1">
      <c r="A134" s="586">
        <f t="shared" ca="1" si="9"/>
        <v>9.1719609999999872</v>
      </c>
      <c r="B134" s="655">
        <f ca="1">0.96*$B$84</f>
        <v>2569.92</v>
      </c>
      <c r="C134" s="586">
        <f t="shared" ca="1" si="10"/>
        <v>-1.6000000000000014E-3</v>
      </c>
      <c r="D134" s="586">
        <f t="shared" ca="1" si="8"/>
        <v>9.1719609999999872</v>
      </c>
    </row>
    <row r="135" spans="1:5" hidden="1">
      <c r="A135" s="586">
        <f t="shared" ca="1" si="9"/>
        <v>9.0862969999999876</v>
      </c>
      <c r="B135" s="655">
        <f ca="1">0.98*$B$84</f>
        <v>2623.46</v>
      </c>
      <c r="C135" s="586">
        <f t="shared" ca="1" si="10"/>
        <v>-1.6000000000000014E-3</v>
      </c>
      <c r="D135" s="586">
        <f t="shared" ca="1" si="8"/>
        <v>9.0862969999999876</v>
      </c>
    </row>
    <row r="136" spans="1:5" hidden="1">
      <c r="A136" s="586">
        <f ca="1">C84</f>
        <v>9.0167999999999981</v>
      </c>
      <c r="B136" s="586">
        <f ca="1">1*$B$73</f>
        <v>2677</v>
      </c>
      <c r="D136" s="586">
        <f t="shared" ca="1" si="8"/>
        <v>9.0167999999999981</v>
      </c>
    </row>
    <row r="137" spans="1:5" hidden="1"/>
    <row r="138" spans="1:5" hidden="1"/>
    <row r="139" spans="1:5" hidden="1"/>
    <row r="140" spans="1:5" hidden="1">
      <c r="A140" s="586" t="s">
        <v>1835</v>
      </c>
    </row>
    <row r="141" spans="1:5" hidden="1">
      <c r="A141" s="586" t="s">
        <v>1771</v>
      </c>
      <c r="B141" s="586" t="s">
        <v>1772</v>
      </c>
      <c r="C141" s="664">
        <f ca="1">$C$2*1</f>
        <v>320</v>
      </c>
    </row>
    <row r="142" spans="1:5" hidden="1">
      <c r="A142" s="586">
        <f ca="1">MIN(VLOOKUP(C141,C142:E146,2,FALSE),A154)</f>
        <v>10.1</v>
      </c>
      <c r="B142" s="586">
        <f ca="1">VLOOKUP(C141,C142:E146,3,FALSE)</f>
        <v>2000</v>
      </c>
      <c r="C142" s="665">
        <v>75</v>
      </c>
      <c r="D142" s="666">
        <f ca="1">IF(VLOOKUP($A$2,Motorenmatrix,6,FALSE)=0,A78,VLOOKUP($A$2,Motorenmatrix,6,FALSE))</f>
        <v>11.6</v>
      </c>
      <c r="E142" s="666">
        <f ca="1">IF(VLOOKUP($A$2,Motorenmatrix,7,FALSE)=0,B78,VLOOKUP($A$2,Motorenmatrix,7,FALSE))</f>
        <v>0</v>
      </c>
    </row>
    <row r="143" spans="1:5" hidden="1">
      <c r="C143" s="665">
        <v>160</v>
      </c>
      <c r="D143" s="666">
        <f ca="1">IF(VLOOKUP($A$2,Motorenmatrix,8,FALSE)=0,D142,VLOOKUP($A$2,Motorenmatrix,8,FALSE))</f>
        <v>11.6</v>
      </c>
      <c r="E143" s="666">
        <f ca="1">IF(VLOOKUP($A$2,Motorenmatrix,9,FALSE)=0,E142,VLOOKUP($A$2,Motorenmatrix,9,FALSE))</f>
        <v>0</v>
      </c>
    </row>
    <row r="144" spans="1:5" hidden="1">
      <c r="C144" s="665">
        <v>320</v>
      </c>
      <c r="D144" s="666">
        <f>IF(VLOOKUP($A$2,Motorenmatrix,10,FALSE)=0,D143,VLOOKUP($A$2,Motorenmatrix,10,FALSE))</f>
        <v>10.1</v>
      </c>
      <c r="E144" s="666">
        <f>IF(VLOOKUP($A$2,Motorenmatrix,11,FALSE)=0,E143,VLOOKUP($A$2,Motorenmatrix,11,FALSE))</f>
        <v>2000</v>
      </c>
    </row>
    <row r="145" spans="1:5" hidden="1">
      <c r="C145" s="665">
        <v>560</v>
      </c>
      <c r="D145" s="666">
        <f>IF(VLOOKUP($A$2,Motorenmatrix,12,FALSE)=0,D144,VLOOKUP($A$2,Motorenmatrix,12,FALSE))</f>
        <v>7.65</v>
      </c>
      <c r="E145" s="666">
        <f>IF(VLOOKUP($A$2,Motorenmatrix,13,FALSE)=0,E144,VLOOKUP($A$2,Motorenmatrix,13,FALSE))</f>
        <v>4000</v>
      </c>
    </row>
    <row r="146" spans="1:5" hidden="1">
      <c r="C146" s="665">
        <v>640</v>
      </c>
      <c r="D146" s="666">
        <f>IF(VLOOKUP($A$2,Motorenmatrix,14,FALSE)=0,D145,VLOOKUP($A$2,Motorenmatrix,14,FALSE))</f>
        <v>6.85</v>
      </c>
      <c r="E146" s="666">
        <f>IF(VLOOKUP($A$2,Motorenmatrix,15,FALSE)=0,E145,VLOOKUP($A$2,Motorenmatrix,15,FALSE))</f>
        <v>4500</v>
      </c>
    </row>
    <row r="147" spans="1:5" hidden="1"/>
    <row r="148" spans="1:5" hidden="1">
      <c r="A148" s="586" t="s">
        <v>1761</v>
      </c>
    </row>
    <row r="149" spans="1:5" hidden="1">
      <c r="A149" s="586">
        <f>A14*MAX(($G$10/$H$10-($G$10/$H$10-$I$10/$D$10)/$D$10*A14),I10/D10)</f>
        <v>1074.4680851063831</v>
      </c>
      <c r="B149" s="586">
        <v>0</v>
      </c>
    </row>
    <row r="150" spans="1:5" hidden="1">
      <c r="A150" s="586">
        <f>A149</f>
        <v>1074.4680851063831</v>
      </c>
      <c r="B150" s="586">
        <f ca="1">B71*1.05</f>
        <v>2917.7400000000002</v>
      </c>
    </row>
    <row r="151" spans="1:5" hidden="1"/>
    <row r="152" spans="1:5" hidden="1"/>
    <row r="153" spans="1:5" hidden="1">
      <c r="A153" s="586" t="s">
        <v>1762</v>
      </c>
    </row>
    <row r="154" spans="1:5" hidden="1">
      <c r="A154" s="586">
        <f>B13*MAX(($G$10/$H$10-($G$10/$H$10-$I$10/$D$10)/$D$10*B13),I10/D10)</f>
        <v>1074.4680851063831</v>
      </c>
      <c r="B154" s="586">
        <v>0</v>
      </c>
    </row>
    <row r="155" spans="1:5" hidden="1">
      <c r="A155" s="586">
        <f>A154</f>
        <v>1074.4680851063831</v>
      </c>
      <c r="B155" s="586">
        <f ca="1">B71*1.05</f>
        <v>2917.7400000000002</v>
      </c>
    </row>
    <row r="156" spans="1:5" hidden="1"/>
    <row r="157" spans="1:5" hidden="1"/>
    <row r="158" spans="1:5" hidden="1"/>
    <row r="159" spans="1:5" hidden="1"/>
    <row r="160" spans="1:5" hidden="1"/>
    <row r="161" spans="14:15" s="586" customFormat="1" hidden="1">
      <c r="N161" s="641"/>
      <c r="O161" s="641"/>
    </row>
    <row r="162" spans="14:15" s="586" customFormat="1" hidden="1">
      <c r="N162" s="641"/>
      <c r="O162" s="641"/>
    </row>
    <row r="163" spans="14:15" s="586" customFormat="1" hidden="1">
      <c r="N163" s="641"/>
      <c r="O163" s="641"/>
    </row>
    <row r="164" spans="14:15" hidden="1"/>
    <row r="165" spans="14:15" hidden="1"/>
    <row r="166" spans="14:15" hidden="1"/>
    <row r="167" spans="14:15" hidden="1"/>
    <row r="168" spans="14:15" hidden="1"/>
    <row r="169" spans="14:15" hidden="1"/>
    <row r="170" spans="14:15" hidden="1"/>
    <row r="171" spans="14:15" hidden="1"/>
    <row r="172" spans="14:15" hidden="1"/>
    <row r="173" spans="14:15" hidden="1"/>
    <row r="174" spans="14:15" hidden="1"/>
    <row r="175" spans="14:15" hidden="1"/>
    <row r="176" spans="14:15"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spans="9:12" hidden="1"/>
    <row r="194" spans="9:12" hidden="1"/>
    <row r="195" spans="9:12" hidden="1"/>
    <row r="196" spans="9:12" hidden="1"/>
    <row r="197" spans="9:12" hidden="1"/>
    <row r="198" spans="9:12" hidden="1"/>
    <row r="199" spans="9:12" hidden="1"/>
    <row r="200" spans="9:12" hidden="1"/>
    <row r="207" spans="9:12" ht="13.5" thickBot="1"/>
    <row r="208" spans="9:12">
      <c r="I208" s="667"/>
      <c r="J208" s="668"/>
      <c r="K208" s="669"/>
      <c r="L208" s="670"/>
    </row>
    <row r="209" spans="9:15" ht="15.75">
      <c r="I209" s="671"/>
      <c r="J209" s="672" t="s">
        <v>1836</v>
      </c>
      <c r="K209" s="673"/>
      <c r="L209" s="674"/>
    </row>
    <row r="210" spans="9:15" ht="15.75" thickBot="1">
      <c r="I210" s="671"/>
      <c r="J210" s="675" t="s">
        <v>1837</v>
      </c>
      <c r="K210" s="673"/>
      <c r="L210" s="674"/>
    </row>
    <row r="211" spans="9:15">
      <c r="I211" s="671"/>
      <c r="J211" s="633" t="s">
        <v>1838</v>
      </c>
      <c r="K211" s="676">
        <v>5</v>
      </c>
      <c r="L211" s="674"/>
    </row>
    <row r="212" spans="9:15">
      <c r="I212" s="671"/>
      <c r="J212" s="633" t="s">
        <v>1839</v>
      </c>
      <c r="K212" s="677">
        <v>32</v>
      </c>
      <c r="L212" s="674"/>
    </row>
    <row r="213" spans="9:15" ht="13.5" thickBot="1">
      <c r="I213" s="671"/>
      <c r="J213" s="633" t="s">
        <v>1840</v>
      </c>
      <c r="K213" s="678">
        <f>K211*1000/K212*60</f>
        <v>9375</v>
      </c>
      <c r="L213" s="674"/>
    </row>
    <row r="214" spans="9:15">
      <c r="I214" s="671"/>
      <c r="J214" s="633"/>
      <c r="K214" s="673"/>
      <c r="L214" s="674"/>
    </row>
    <row r="215" spans="9:15" ht="13.5" thickBot="1">
      <c r="I215" s="671"/>
      <c r="J215" s="675" t="s">
        <v>1841</v>
      </c>
      <c r="K215" s="673"/>
      <c r="L215" s="674"/>
      <c r="N215" s="679" t="s">
        <v>1842</v>
      </c>
    </row>
    <row r="216" spans="9:15">
      <c r="I216" s="671"/>
      <c r="J216" s="633" t="s">
        <v>1839</v>
      </c>
      <c r="K216" s="676">
        <v>32</v>
      </c>
      <c r="L216" s="674"/>
      <c r="N216" s="680" t="s">
        <v>1843</v>
      </c>
      <c r="O216" s="681">
        <f>K218</f>
        <v>21.866666666666667</v>
      </c>
    </row>
    <row r="217" spans="9:15" ht="13.5" thickBot="1">
      <c r="I217" s="671"/>
      <c r="J217" s="633" t="s">
        <v>1844</v>
      </c>
      <c r="K217" s="682">
        <v>41000</v>
      </c>
      <c r="L217" s="674"/>
      <c r="N217" s="683" t="s">
        <v>1845</v>
      </c>
      <c r="O217" s="684">
        <f>O216*(1.73/6.28)</f>
        <v>6.0237791932059448</v>
      </c>
    </row>
    <row r="218" spans="9:15" ht="13.5" thickBot="1">
      <c r="I218" s="671"/>
      <c r="J218" s="633" t="s">
        <v>1846</v>
      </c>
      <c r="K218" s="678">
        <f>K217/((1000/K216)*60)</f>
        <v>21.866666666666667</v>
      </c>
      <c r="L218" s="674"/>
      <c r="O218" s="656"/>
    </row>
    <row r="219" spans="9:15">
      <c r="I219" s="671"/>
      <c r="J219" s="633"/>
      <c r="K219" s="685"/>
      <c r="L219" s="674"/>
    </row>
    <row r="220" spans="9:15" ht="15.75" thickBot="1">
      <c r="I220" s="671"/>
      <c r="J220" s="675" t="s">
        <v>1847</v>
      </c>
      <c r="K220" s="673"/>
      <c r="L220" s="674"/>
    </row>
    <row r="221" spans="9:15">
      <c r="I221" s="671"/>
      <c r="J221" s="633" t="s">
        <v>1840</v>
      </c>
      <c r="K221" s="676">
        <v>9375</v>
      </c>
      <c r="L221" s="674"/>
    </row>
    <row r="222" spans="9:15">
      <c r="I222" s="671"/>
      <c r="J222" s="633" t="s">
        <v>1839</v>
      </c>
      <c r="K222" s="677">
        <v>32</v>
      </c>
      <c r="L222" s="674"/>
    </row>
    <row r="223" spans="9:15" ht="13.5" thickBot="1">
      <c r="I223" s="671"/>
      <c r="J223" s="633" t="s">
        <v>1838</v>
      </c>
      <c r="K223" s="678">
        <f>K221/60*K222/1000</f>
        <v>5</v>
      </c>
      <c r="L223" s="674"/>
    </row>
    <row r="224" spans="9:15" ht="13.5" thickBot="1">
      <c r="I224" s="686"/>
      <c r="J224" s="687"/>
      <c r="K224" s="688"/>
      <c r="L224" s="689"/>
    </row>
  </sheetData>
  <pageMargins left="0.78740157499999996" right="0.78740157499999996" top="0.984251969" bottom="0.984251969" header="0.4921259845" footer="0.4921259845"/>
  <pageSetup paperSize="9" orientation="portrait" horizontalDpi="1200" verticalDpi="1200" r:id="rId1"/>
  <headerFooter alignWithMargins="0"/>
  <customProperties>
    <customPr name="workbookAdvencedSettings" r:id="rId2"/>
    <customPr name="workbookExecutionSettings" r:id="rId3"/>
    <customPr name="workbookGatewaySettings"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O4:V37"/>
  <sheetViews>
    <sheetView topLeftCell="A7" workbookViewId="0">
      <selection activeCell="S22" sqref="S22"/>
    </sheetView>
  </sheetViews>
  <sheetFormatPr defaultRowHeight="15"/>
  <sheetData>
    <row r="4" spans="15:22">
      <c r="O4" s="104" t="s">
        <v>263</v>
      </c>
      <c r="P4" s="102"/>
      <c r="Q4" s="73"/>
      <c r="R4" s="73"/>
      <c r="S4" s="73"/>
      <c r="T4" s="73"/>
      <c r="U4" s="73"/>
      <c r="V4" s="71"/>
    </row>
    <row r="5" spans="15:22">
      <c r="O5" s="67"/>
      <c r="P5" s="34"/>
      <c r="Q5" s="34"/>
      <c r="R5" s="34"/>
      <c r="S5" s="34"/>
      <c r="T5" s="34"/>
      <c r="U5" s="34"/>
      <c r="V5" s="68"/>
    </row>
    <row r="6" spans="15:22">
      <c r="O6" s="153" t="s">
        <v>264</v>
      </c>
      <c r="P6" s="34"/>
      <c r="Q6" s="1063" t="s">
        <v>265</v>
      </c>
      <c r="R6" s="1064"/>
      <c r="S6" s="1064"/>
      <c r="T6" s="1065"/>
      <c r="U6" s="63"/>
      <c r="V6" s="68"/>
    </row>
    <row r="7" spans="15:22">
      <c r="O7" s="128" t="s">
        <v>274</v>
      </c>
      <c r="P7" s="152" t="s">
        <v>77</v>
      </c>
      <c r="Q7" s="152">
        <v>1000</v>
      </c>
      <c r="R7" s="152">
        <v>2000</v>
      </c>
      <c r="S7" s="152">
        <v>3000</v>
      </c>
      <c r="T7" s="152">
        <v>4000</v>
      </c>
      <c r="U7" s="152" t="s">
        <v>158</v>
      </c>
      <c r="V7" s="74" t="s">
        <v>79</v>
      </c>
    </row>
    <row r="8" spans="15:22">
      <c r="O8" s="67" t="s">
        <v>275</v>
      </c>
      <c r="P8" s="154" t="s">
        <v>266</v>
      </c>
      <c r="Q8" s="34">
        <v>4.7</v>
      </c>
      <c r="R8" s="34">
        <v>3.8</v>
      </c>
      <c r="S8" s="34">
        <v>3.3</v>
      </c>
      <c r="T8" s="34">
        <v>3.1</v>
      </c>
      <c r="U8" s="34">
        <v>1E-3</v>
      </c>
      <c r="V8" s="68">
        <v>1.2999999999999999E-2</v>
      </c>
    </row>
    <row r="9" spans="15:22">
      <c r="O9" s="67"/>
      <c r="P9" s="149" t="s">
        <v>267</v>
      </c>
      <c r="Q9" s="34">
        <v>5</v>
      </c>
      <c r="R9" s="34">
        <v>4.2</v>
      </c>
      <c r="S9" s="34">
        <v>3.7</v>
      </c>
      <c r="T9" s="34">
        <v>3.4</v>
      </c>
      <c r="U9" s="34">
        <v>1E-3</v>
      </c>
      <c r="V9" s="68">
        <v>5.0000000000000001E-3</v>
      </c>
    </row>
    <row r="10" spans="15:22">
      <c r="O10" s="67"/>
      <c r="P10" s="149" t="s">
        <v>268</v>
      </c>
      <c r="Q10" s="34">
        <v>3.4</v>
      </c>
      <c r="R10" s="34">
        <v>3.1</v>
      </c>
      <c r="S10" s="34">
        <v>2.8</v>
      </c>
      <c r="T10" s="34">
        <v>2.6</v>
      </c>
      <c r="U10" s="34">
        <v>1E-3</v>
      </c>
      <c r="V10" s="68">
        <v>3.0000000000000001E-3</v>
      </c>
    </row>
    <row r="11" spans="15:22">
      <c r="O11" s="67"/>
      <c r="P11" s="149" t="s">
        <v>269</v>
      </c>
      <c r="Q11" s="34">
        <v>5.3</v>
      </c>
      <c r="R11" s="34">
        <v>5.3</v>
      </c>
      <c r="S11" s="34">
        <v>5.3</v>
      </c>
      <c r="T11" s="34">
        <v>4.7</v>
      </c>
      <c r="U11" s="34">
        <v>1E-3</v>
      </c>
      <c r="V11" s="68">
        <v>4.0000000000000001E-3</v>
      </c>
    </row>
    <row r="12" spans="15:22">
      <c r="O12" s="67"/>
      <c r="P12" s="149" t="s">
        <v>270</v>
      </c>
      <c r="Q12" s="34">
        <v>8.8000000000000007</v>
      </c>
      <c r="R12" s="34">
        <v>6.6</v>
      </c>
      <c r="S12" s="34">
        <v>6</v>
      </c>
      <c r="T12" s="34">
        <v>5.5</v>
      </c>
      <c r="U12" s="34">
        <v>1E-3</v>
      </c>
      <c r="V12" s="68">
        <v>4.0000000000000001E-3</v>
      </c>
    </row>
    <row r="13" spans="15:22">
      <c r="O13" s="67"/>
      <c r="P13" s="149" t="s">
        <v>271</v>
      </c>
      <c r="Q13" s="34">
        <v>6.4</v>
      </c>
      <c r="R13" s="34">
        <v>5.9</v>
      </c>
      <c r="S13" s="34">
        <v>5.4</v>
      </c>
      <c r="T13" s="34">
        <v>5.2</v>
      </c>
      <c r="U13" s="34">
        <v>1E-3</v>
      </c>
      <c r="V13" s="68">
        <v>3.0000000000000001E-3</v>
      </c>
    </row>
    <row r="14" spans="15:22">
      <c r="O14" s="67"/>
      <c r="P14" s="149" t="s">
        <v>272</v>
      </c>
      <c r="Q14" s="34">
        <v>10.3</v>
      </c>
      <c r="R14" s="34">
        <v>8.8000000000000007</v>
      </c>
      <c r="S14" s="34">
        <v>7.4</v>
      </c>
      <c r="T14" s="34">
        <v>6.7</v>
      </c>
      <c r="U14" s="34">
        <v>1E-3</v>
      </c>
      <c r="V14" s="68">
        <v>3.0000000000000001E-3</v>
      </c>
    </row>
    <row r="15" spans="15:22">
      <c r="O15" s="67" t="s">
        <v>276</v>
      </c>
      <c r="P15" s="149" t="s">
        <v>273</v>
      </c>
      <c r="Q15" s="34">
        <v>4.5</v>
      </c>
      <c r="R15" s="34">
        <v>4.3</v>
      </c>
      <c r="S15" s="34">
        <v>4</v>
      </c>
      <c r="T15" s="34">
        <v>3.8</v>
      </c>
      <c r="U15" s="34">
        <v>1E-3</v>
      </c>
      <c r="V15" s="68">
        <v>3.0000000000000001E-3</v>
      </c>
    </row>
    <row r="16" spans="15:22">
      <c r="O16" s="67"/>
      <c r="P16" s="34"/>
      <c r="Q16" s="34"/>
      <c r="R16" s="34"/>
      <c r="S16" s="34"/>
      <c r="T16" s="34"/>
      <c r="U16" s="34"/>
      <c r="V16" s="68"/>
    </row>
    <row r="17" spans="15:22">
      <c r="O17" s="67"/>
      <c r="P17" s="34"/>
      <c r="Q17" s="34"/>
      <c r="R17" s="34"/>
      <c r="S17" s="34"/>
      <c r="T17" s="34"/>
      <c r="U17" s="34"/>
      <c r="V17" s="68"/>
    </row>
    <row r="18" spans="15:22">
      <c r="O18" s="67"/>
      <c r="P18" s="34"/>
      <c r="Q18" s="34"/>
      <c r="R18" s="34"/>
      <c r="S18" s="34"/>
      <c r="T18" s="34"/>
      <c r="U18" s="34"/>
      <c r="V18" s="68"/>
    </row>
    <row r="19" spans="15:22">
      <c r="O19" s="67"/>
      <c r="P19" s="34"/>
      <c r="Q19" s="34"/>
      <c r="R19" s="34"/>
      <c r="S19" s="34"/>
      <c r="T19" s="34"/>
      <c r="U19" s="34"/>
      <c r="V19" s="68"/>
    </row>
    <row r="20" spans="15:22">
      <c r="O20" s="153" t="s">
        <v>277</v>
      </c>
      <c r="P20" s="34"/>
      <c r="Q20" s="1063" t="s">
        <v>265</v>
      </c>
      <c r="R20" s="1064"/>
      <c r="S20" s="1064"/>
      <c r="T20" s="1065"/>
      <c r="U20" s="63"/>
      <c r="V20" s="68"/>
    </row>
    <row r="21" spans="15:22">
      <c r="O21" s="128" t="s">
        <v>274</v>
      </c>
      <c r="P21" s="152" t="s">
        <v>77</v>
      </c>
      <c r="Q21" s="152">
        <v>1000</v>
      </c>
      <c r="R21" s="152">
        <v>2000</v>
      </c>
      <c r="S21" s="152">
        <v>3000</v>
      </c>
      <c r="T21" s="152">
        <v>4000</v>
      </c>
      <c r="U21" s="152" t="s">
        <v>158</v>
      </c>
      <c r="V21" s="74" t="s">
        <v>79</v>
      </c>
    </row>
    <row r="22" spans="15:22">
      <c r="O22" s="67" t="s">
        <v>283</v>
      </c>
      <c r="P22" s="154" t="s">
        <v>266</v>
      </c>
      <c r="Q22" s="34">
        <v>11.1</v>
      </c>
      <c r="R22" s="34">
        <v>9</v>
      </c>
      <c r="S22" s="34">
        <v>7.9</v>
      </c>
      <c r="T22" s="34">
        <v>7.3</v>
      </c>
      <c r="U22" s="34">
        <v>1E-3</v>
      </c>
      <c r="V22" s="68">
        <v>7.5999999999999998E-2</v>
      </c>
    </row>
    <row r="23" spans="15:22">
      <c r="O23" s="67"/>
      <c r="P23" s="149" t="s">
        <v>278</v>
      </c>
      <c r="Q23" s="34">
        <v>12.1</v>
      </c>
      <c r="R23" s="34">
        <v>10.199999999999999</v>
      </c>
      <c r="S23" s="34">
        <v>9</v>
      </c>
      <c r="T23" s="34">
        <v>8.1999999999999993</v>
      </c>
      <c r="U23" s="34">
        <v>1E-3</v>
      </c>
      <c r="V23" s="68">
        <v>2.4E-2</v>
      </c>
    </row>
    <row r="24" spans="15:22">
      <c r="O24" s="67"/>
      <c r="P24" s="149" t="s">
        <v>267</v>
      </c>
      <c r="Q24" s="34">
        <v>11.9</v>
      </c>
      <c r="R24" s="34">
        <v>9.9</v>
      </c>
      <c r="S24" s="34">
        <v>8.8000000000000007</v>
      </c>
      <c r="T24" s="34">
        <v>8</v>
      </c>
      <c r="U24" s="34">
        <v>1E-3</v>
      </c>
      <c r="V24" s="68">
        <v>2.5000000000000001E-2</v>
      </c>
    </row>
    <row r="25" spans="15:22">
      <c r="O25" s="67"/>
      <c r="P25" s="149" t="s">
        <v>279</v>
      </c>
      <c r="Q25" s="34">
        <v>11.3</v>
      </c>
      <c r="R25" s="34">
        <v>9.4</v>
      </c>
      <c r="S25" s="34">
        <v>8.4</v>
      </c>
      <c r="T25" s="34">
        <v>7.5</v>
      </c>
      <c r="U25" s="34">
        <v>1E-3</v>
      </c>
      <c r="V25" s="68">
        <v>2.4E-2</v>
      </c>
    </row>
    <row r="26" spans="15:22">
      <c r="O26" s="67"/>
      <c r="P26" s="149" t="s">
        <v>268</v>
      </c>
      <c r="Q26" s="34">
        <v>7.1</v>
      </c>
      <c r="R26" s="34">
        <v>6.6</v>
      </c>
      <c r="S26" s="34">
        <v>6.1</v>
      </c>
      <c r="T26" s="34">
        <v>5.9</v>
      </c>
      <c r="U26" s="34">
        <v>1E-3</v>
      </c>
      <c r="V26" s="68">
        <v>1.6E-2</v>
      </c>
    </row>
    <row r="27" spans="15:22">
      <c r="O27" s="67"/>
      <c r="P27" s="149" t="s">
        <v>269</v>
      </c>
      <c r="Q27" s="34">
        <v>14</v>
      </c>
      <c r="R27" s="34">
        <v>12.4</v>
      </c>
      <c r="S27" s="34">
        <v>11.9</v>
      </c>
      <c r="T27" s="34">
        <v>11.3</v>
      </c>
      <c r="U27" s="34">
        <v>1E-3</v>
      </c>
      <c r="V27" s="68">
        <v>2.4E-2</v>
      </c>
    </row>
    <row r="28" spans="15:22">
      <c r="O28" s="67"/>
      <c r="P28" s="149" t="s">
        <v>280</v>
      </c>
      <c r="Q28" s="34">
        <v>20.3</v>
      </c>
      <c r="R28" s="34">
        <v>16.600000000000001</v>
      </c>
      <c r="S28" s="34">
        <v>14.7</v>
      </c>
      <c r="T28" s="34">
        <v>13.6</v>
      </c>
      <c r="U28" s="34">
        <v>1E-3</v>
      </c>
      <c r="V28" s="68">
        <v>2.4E-2</v>
      </c>
    </row>
    <row r="29" spans="15:22">
      <c r="O29" s="67"/>
      <c r="P29" s="149" t="s">
        <v>270</v>
      </c>
      <c r="Q29" s="34">
        <v>9.8000000000000007</v>
      </c>
      <c r="R29" s="34">
        <v>16</v>
      </c>
      <c r="S29" s="34">
        <v>14.1</v>
      </c>
      <c r="T29" s="34">
        <v>13</v>
      </c>
      <c r="U29" s="34">
        <v>1E-3</v>
      </c>
      <c r="V29" s="68">
        <v>2.4E-2</v>
      </c>
    </row>
    <row r="30" spans="15:22">
      <c r="O30" s="67"/>
      <c r="P30" s="154" t="s">
        <v>271</v>
      </c>
      <c r="Q30" s="34">
        <v>23.4</v>
      </c>
      <c r="R30" s="34">
        <v>20.6</v>
      </c>
      <c r="S30" s="34">
        <v>17.7</v>
      </c>
      <c r="T30" s="34">
        <v>16.600000000000001</v>
      </c>
      <c r="U30" s="34">
        <v>1E-3</v>
      </c>
      <c r="V30" s="68">
        <v>1.4999999999999999E-2</v>
      </c>
    </row>
    <row r="31" spans="15:22">
      <c r="O31" s="67"/>
      <c r="P31" s="149" t="s">
        <v>281</v>
      </c>
      <c r="Q31" s="34">
        <v>23.4</v>
      </c>
      <c r="R31" s="34">
        <v>20.6</v>
      </c>
      <c r="S31" s="34">
        <v>17.7</v>
      </c>
      <c r="T31" s="34">
        <v>16.600000000000001</v>
      </c>
      <c r="U31" s="34">
        <v>1E-3</v>
      </c>
      <c r="V31" s="68">
        <v>1.4999999999999999E-2</v>
      </c>
    </row>
    <row r="32" spans="15:22">
      <c r="O32" s="67"/>
      <c r="P32" s="149" t="s">
        <v>272</v>
      </c>
      <c r="Q32" s="34">
        <v>22.8</v>
      </c>
      <c r="R32" s="34">
        <v>19.8</v>
      </c>
      <c r="S32" s="34">
        <v>17.2</v>
      </c>
      <c r="T32" s="34">
        <v>16</v>
      </c>
      <c r="U32" s="34">
        <v>1E-3</v>
      </c>
      <c r="V32" s="68">
        <v>1.4999999999999999E-2</v>
      </c>
    </row>
    <row r="33" spans="15:22">
      <c r="O33" s="67"/>
      <c r="P33" s="149" t="s">
        <v>282</v>
      </c>
      <c r="Q33" s="34">
        <v>22.3</v>
      </c>
      <c r="R33" s="34">
        <v>19.399999999999999</v>
      </c>
      <c r="S33" s="34">
        <v>16.600000000000001</v>
      </c>
      <c r="T33" s="34">
        <v>15.5</v>
      </c>
      <c r="U33" s="34">
        <v>1E-3</v>
      </c>
      <c r="V33" s="68">
        <v>1.4999999999999999E-2</v>
      </c>
    </row>
    <row r="34" spans="15:22">
      <c r="O34" s="72" t="s">
        <v>284</v>
      </c>
      <c r="P34" s="150" t="s">
        <v>273</v>
      </c>
      <c r="Q34" s="89">
        <v>9.6</v>
      </c>
      <c r="R34" s="89">
        <v>8.9</v>
      </c>
      <c r="S34" s="89">
        <v>8.9</v>
      </c>
      <c r="T34" s="89">
        <v>8.1999999999999993</v>
      </c>
      <c r="U34" s="89">
        <v>1E-3</v>
      </c>
      <c r="V34" s="90">
        <v>1.4999999999999999E-2</v>
      </c>
    </row>
    <row r="35" spans="15:22">
      <c r="P35" s="115"/>
    </row>
    <row r="36" spans="15:22">
      <c r="P36" s="115"/>
    </row>
    <row r="37" spans="15:22">
      <c r="P37" s="115"/>
    </row>
  </sheetData>
  <mergeCells count="2">
    <mergeCell ref="Q20:T20"/>
    <mergeCell ref="Q6:T6"/>
  </mergeCells>
  <pageMargins left="0.7" right="0.7" top="0.75" bottom="0.75" header="0.3" footer="0.3"/>
  <customProperties>
    <customPr name="workbookAdvencedSettings" r:id="rId1"/>
    <customPr name="workbookExecutionSettings" r:id="rId2"/>
    <customPr name="workbookGatewaySettings"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C2:F20"/>
  <sheetViews>
    <sheetView workbookViewId="0">
      <selection activeCell="D21" sqref="D21"/>
    </sheetView>
  </sheetViews>
  <sheetFormatPr defaultRowHeight="15"/>
  <cols>
    <col min="3" max="3" width="10.42578125" bestFit="1" customWidth="1"/>
  </cols>
  <sheetData>
    <row r="2" spans="3:6">
      <c r="C2" t="s">
        <v>238</v>
      </c>
    </row>
    <row r="5" spans="3:6">
      <c r="C5" s="20"/>
      <c r="D5" s="20"/>
      <c r="E5" s="20"/>
      <c r="F5" s="20"/>
    </row>
    <row r="6" spans="3:6">
      <c r="C6" s="132">
        <v>42377</v>
      </c>
      <c r="D6" s="20" t="s">
        <v>229</v>
      </c>
      <c r="E6" s="20"/>
      <c r="F6" s="20"/>
    </row>
    <row r="7" spans="3:6">
      <c r="C7" s="132">
        <v>42382</v>
      </c>
      <c r="D7" s="20" t="s">
        <v>230</v>
      </c>
      <c r="E7" s="20"/>
      <c r="F7" s="20"/>
    </row>
    <row r="8" spans="3:6">
      <c r="C8" s="132">
        <v>42384</v>
      </c>
      <c r="D8" s="20" t="s">
        <v>237</v>
      </c>
      <c r="E8" s="20"/>
      <c r="F8" s="20"/>
    </row>
    <row r="9" spans="3:6">
      <c r="C9" s="173">
        <v>42405</v>
      </c>
      <c r="D9" s="20" t="s">
        <v>331</v>
      </c>
    </row>
    <row r="10" spans="3:6">
      <c r="C10" s="173">
        <v>42410</v>
      </c>
      <c r="D10" s="20" t="s">
        <v>333</v>
      </c>
    </row>
    <row r="11" spans="3:6">
      <c r="C11" s="173">
        <v>42410</v>
      </c>
      <c r="D11" s="20" t="s">
        <v>334</v>
      </c>
    </row>
    <row r="12" spans="3:6">
      <c r="C12" s="173">
        <v>42440</v>
      </c>
      <c r="D12" s="20" t="s">
        <v>359</v>
      </c>
    </row>
    <row r="13" spans="3:6">
      <c r="C13" s="173">
        <v>42472</v>
      </c>
      <c r="D13" s="20" t="s">
        <v>376</v>
      </c>
    </row>
    <row r="14" spans="3:6">
      <c r="C14" s="173">
        <v>42472</v>
      </c>
      <c r="D14" s="20" t="s">
        <v>393</v>
      </c>
    </row>
    <row r="15" spans="3:6">
      <c r="C15" s="173">
        <v>42474</v>
      </c>
      <c r="D15" s="20" t="s">
        <v>400</v>
      </c>
    </row>
    <row r="16" spans="3:6">
      <c r="C16" s="173">
        <v>42486</v>
      </c>
      <c r="D16" s="20" t="s">
        <v>460</v>
      </c>
    </row>
    <row r="17" spans="3:4">
      <c r="C17" s="173">
        <v>42486</v>
      </c>
      <c r="D17" s="20" t="s">
        <v>461</v>
      </c>
    </row>
    <row r="18" spans="3:4">
      <c r="C18" s="173">
        <v>42494</v>
      </c>
      <c r="D18" s="20" t="s">
        <v>472</v>
      </c>
    </row>
    <row r="19" spans="3:4">
      <c r="C19" s="173">
        <v>42494</v>
      </c>
      <c r="D19" s="20" t="s">
        <v>473</v>
      </c>
    </row>
    <row r="20" spans="3:4">
      <c r="C20" s="173">
        <v>42494</v>
      </c>
      <c r="D20" s="20" t="s">
        <v>474</v>
      </c>
    </row>
  </sheetData>
  <pageMargins left="0.7" right="0.7" top="0.75" bottom="0.75" header="0.3" footer="0.3"/>
  <customProperties>
    <customPr name="workbookAdvencedSettings" r:id="rId1"/>
    <customPr name="workbookExecutionSettings" r:id="rId2"/>
    <customPr name="workbookGatewaySettings"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2</vt:i4>
      </vt:variant>
    </vt:vector>
  </HeadingPairs>
  <TitlesOfParts>
    <vt:vector size="14" baseType="lpstr">
      <vt:lpstr>Input</vt:lpstr>
      <vt:lpstr>fm factor</vt:lpstr>
      <vt:lpstr>Information</vt:lpstr>
      <vt:lpstr>Data</vt:lpstr>
      <vt:lpstr>Motor</vt:lpstr>
      <vt:lpstr>Calc</vt:lpstr>
      <vt:lpstr>Calc2</vt:lpstr>
      <vt:lpstr>Micron Gear Data</vt:lpstr>
      <vt:lpstr>Change LOG</vt:lpstr>
      <vt:lpstr>PC40 Graphs</vt:lpstr>
      <vt:lpstr>PC32 Graphs</vt:lpstr>
      <vt:lpstr>PC25 Graphs</vt:lpstr>
      <vt:lpstr>Imperial_units</vt:lpstr>
      <vt:lpstr>Motorenmatrix</vt:lpstr>
    </vt:vector>
  </TitlesOfParts>
  <Company>Danaher Motion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Hjalmarsson</dc:creator>
  <cp:lastModifiedBy>Alexander.Schollin</cp:lastModifiedBy>
  <cp:lastPrinted>2017-05-09T13:27:09Z</cp:lastPrinted>
  <dcterms:created xsi:type="dcterms:W3CDTF">2014-01-29T12:27:52Z</dcterms:created>
  <dcterms:modified xsi:type="dcterms:W3CDTF">2017-06-02T09:50:17Z</dcterms:modified>
</cp:coreProperties>
</file>